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tinka1\Documents\joe\sail\Greece\"/>
    </mc:Choice>
  </mc:AlternateContent>
  <bookViews>
    <workbookView xWindow="465" yWindow="585" windowWidth="11295" windowHeight="5400" tabRatio="795"/>
  </bookViews>
  <sheets>
    <sheet name="Greece Accts" sheetId="20" r:id="rId1"/>
    <sheet name="Greece Est" sheetId="21" r:id="rId2"/>
    <sheet name="Tonga Accounts" sheetId="19" r:id="rId3"/>
    <sheet name="Tonga Est" sheetId="18" r:id="rId4"/>
    <sheet name="Caribbean" sheetId="17" r:id="rId5"/>
    <sheet name="airfares" sheetId="16" r:id="rId6"/>
    <sheet name="StMartin Est" sheetId="15" r:id="rId7"/>
    <sheet name="Phuket Accounts" sheetId="14" r:id="rId8"/>
    <sheet name="Phuket Est" sheetId="13" r:id="rId9"/>
    <sheet name="LaPaz Accounts" sheetId="1" r:id="rId10"/>
    <sheet name="LaPaz Est" sheetId="2" r:id="rId11"/>
    <sheet name="Croatia Accounts" sheetId="3" r:id="rId12"/>
    <sheet name="StLucia Accounts" sheetId="4" r:id="rId13"/>
    <sheet name="StLucia Est" sheetId="5" r:id="rId14"/>
    <sheet name="Bel Accounts" sheetId="6" r:id="rId15"/>
    <sheet name="Belize Estimates" sheetId="7" r:id="rId16"/>
    <sheet name="Med Provisions" sheetId="8" r:id="rId17"/>
    <sheet name="Med Accounts" sheetId="9" r:id="rId18"/>
    <sheet name="Med Estimates" sheetId="10" r:id="rId19"/>
    <sheet name="Tahiti Accounts" sheetId="11" r:id="rId20"/>
    <sheet name="Tahiti-Provisions" sheetId="12" r:id="rId21"/>
  </sheets>
  <definedNames>
    <definedName name="bt" localSheetId="0">'Greece Accts'!$F$13</definedName>
    <definedName name="bt" localSheetId="2">'Tonga Accounts'!$F$12</definedName>
    <definedName name="bt">'Phuket Accounts'!$F$12</definedName>
    <definedName name="kr" localSheetId="0">'Greece Accts'!$N$15</definedName>
    <definedName name="kr" localSheetId="7">'Phuket Accounts'!$N$14</definedName>
    <definedName name="kr" localSheetId="2">'Tonga Accounts'!$N$14</definedName>
    <definedName name="kr">'Croatia Accounts'!$N$14</definedName>
    <definedName name="_xlnm.Print_Area" localSheetId="9">'LaPaz Accounts'!$A$1:$M$38</definedName>
  </definedNames>
  <calcPr calcId="152511"/>
</workbook>
</file>

<file path=xl/calcChain.xml><?xml version="1.0" encoding="utf-8"?>
<calcChain xmlns="http://schemas.openxmlformats.org/spreadsheetml/2006/main">
  <c r="S26" i="20" l="1"/>
  <c r="R26" i="20"/>
  <c r="Q26" i="20"/>
  <c r="P26" i="20"/>
  <c r="O26" i="20"/>
  <c r="M26" i="20"/>
  <c r="L26" i="20"/>
  <c r="K26" i="20"/>
  <c r="J26" i="20"/>
  <c r="I26" i="20"/>
  <c r="H26" i="20"/>
  <c r="G26" i="20"/>
  <c r="B24" i="20"/>
  <c r="C12" i="20"/>
  <c r="C26" i="20" s="1"/>
  <c r="D12" i="20"/>
  <c r="S12" i="20"/>
  <c r="R12" i="20"/>
  <c r="Q12" i="20"/>
  <c r="P12" i="20"/>
  <c r="O12" i="20"/>
  <c r="N12" i="20"/>
  <c r="M12" i="20"/>
  <c r="L12" i="20"/>
  <c r="K12" i="20"/>
  <c r="S10" i="20"/>
  <c r="R10" i="20"/>
  <c r="Q10" i="20"/>
  <c r="P10" i="20"/>
  <c r="O10" i="20"/>
  <c r="N10" i="20"/>
  <c r="N26" i="20" s="1"/>
  <c r="M10" i="20"/>
  <c r="L10" i="20"/>
  <c r="K10" i="20"/>
  <c r="J10" i="20"/>
  <c r="E7" i="21" l="1"/>
  <c r="E8" i="21" s="1"/>
  <c r="G5" i="12" l="1"/>
  <c r="H5" i="12"/>
  <c r="J5" i="12"/>
  <c r="K5" i="12"/>
  <c r="G6" i="12"/>
  <c r="H6" i="12" s="1"/>
  <c r="J6" i="12"/>
  <c r="G7" i="12"/>
  <c r="H7" i="12" s="1"/>
  <c r="K7" i="12" s="1"/>
  <c r="J7" i="12"/>
  <c r="G8" i="12"/>
  <c r="H8" i="12"/>
  <c r="K8" i="12" s="1"/>
  <c r="J8" i="12"/>
  <c r="G9" i="12"/>
  <c r="H9" i="12" s="1"/>
  <c r="K9" i="12" s="1"/>
  <c r="J9" i="12"/>
  <c r="G10" i="12"/>
  <c r="H10" i="12" s="1"/>
  <c r="K10" i="12" s="1"/>
  <c r="J10" i="12"/>
  <c r="G11" i="12"/>
  <c r="H11" i="12" s="1"/>
  <c r="K11" i="12" s="1"/>
  <c r="J11" i="12"/>
  <c r="G12" i="12"/>
  <c r="H12" i="12"/>
  <c r="K12" i="12" s="1"/>
  <c r="J12" i="12"/>
  <c r="G13" i="12"/>
  <c r="H13" i="12" s="1"/>
  <c r="K13" i="12" s="1"/>
  <c r="J13" i="12"/>
  <c r="G14" i="12"/>
  <c r="H14" i="12"/>
  <c r="K14" i="12" s="1"/>
  <c r="J14" i="12"/>
  <c r="G15" i="12"/>
  <c r="H15" i="12" s="1"/>
  <c r="K15" i="12" s="1"/>
  <c r="J15" i="12"/>
  <c r="G16" i="12"/>
  <c r="H16" i="12" s="1"/>
  <c r="K16" i="12" s="1"/>
  <c r="J16" i="12"/>
  <c r="G17" i="12"/>
  <c r="H17" i="12" s="1"/>
  <c r="K17" i="12" s="1"/>
  <c r="J17" i="12"/>
  <c r="G20" i="12"/>
  <c r="H20" i="12" s="1"/>
  <c r="J20" i="12"/>
  <c r="G21" i="12"/>
  <c r="H21" i="12"/>
  <c r="J21" i="12"/>
  <c r="K21" i="12"/>
  <c r="G22" i="12"/>
  <c r="H22" i="12" s="1"/>
  <c r="K22" i="12" s="1"/>
  <c r="J22" i="12"/>
  <c r="G23" i="12"/>
  <c r="H23" i="12"/>
  <c r="J23" i="12"/>
  <c r="K23" i="12"/>
  <c r="G24" i="12"/>
  <c r="H24" i="12" s="1"/>
  <c r="K24" i="12" s="1"/>
  <c r="J24" i="12"/>
  <c r="G25" i="12"/>
  <c r="H25" i="12"/>
  <c r="J25" i="12"/>
  <c r="K25" i="12"/>
  <c r="G26" i="12"/>
  <c r="H26" i="12" s="1"/>
  <c r="K26" i="12" s="1"/>
  <c r="J26" i="12"/>
  <c r="G29" i="12"/>
  <c r="H29" i="12"/>
  <c r="K29" i="12" s="1"/>
  <c r="J29" i="12"/>
  <c r="G30" i="12"/>
  <c r="H30" i="12" s="1"/>
  <c r="K30" i="12" s="1"/>
  <c r="J30" i="12"/>
  <c r="G31" i="12"/>
  <c r="H31" i="12" s="1"/>
  <c r="J31" i="12"/>
  <c r="G32" i="12"/>
  <c r="H32" i="12" s="1"/>
  <c r="K32" i="12" s="1"/>
  <c r="J32" i="12"/>
  <c r="G33" i="12"/>
  <c r="H33" i="12"/>
  <c r="K33" i="12" s="1"/>
  <c r="J33" i="12"/>
  <c r="G34" i="12"/>
  <c r="H34" i="12" s="1"/>
  <c r="K34" i="12" s="1"/>
  <c r="J34" i="12"/>
  <c r="G35" i="12"/>
  <c r="H35" i="12" s="1"/>
  <c r="K35" i="12" s="1"/>
  <c r="J35" i="12"/>
  <c r="G36" i="12"/>
  <c r="H36" i="12" s="1"/>
  <c r="K36" i="12" s="1"/>
  <c r="J36" i="12"/>
  <c r="G39" i="12"/>
  <c r="H39" i="12" s="1"/>
  <c r="J39" i="12"/>
  <c r="G40" i="12"/>
  <c r="H40" i="12"/>
  <c r="J40" i="12"/>
  <c r="K40" i="12"/>
  <c r="G41" i="12"/>
  <c r="H41" i="12" s="1"/>
  <c r="K41" i="12" s="1"/>
  <c r="J41" i="12"/>
  <c r="G42" i="12"/>
  <c r="H42" i="12"/>
  <c r="J42" i="12"/>
  <c r="K42" i="12"/>
  <c r="G43" i="12"/>
  <c r="H43" i="12" s="1"/>
  <c r="K43" i="12" s="1"/>
  <c r="J43" i="12"/>
  <c r="G44" i="12"/>
  <c r="H44" i="12"/>
  <c r="J44" i="12"/>
  <c r="K44" i="12"/>
  <c r="G45" i="12"/>
  <c r="H45" i="12" s="1"/>
  <c r="K45" i="12" s="1"/>
  <c r="J45" i="12"/>
  <c r="G46" i="12"/>
  <c r="H46" i="12"/>
  <c r="J46" i="12"/>
  <c r="K46" i="12"/>
  <c r="G47" i="12"/>
  <c r="H47" i="12" s="1"/>
  <c r="K47" i="12" s="1"/>
  <c r="J47" i="12"/>
  <c r="G48" i="12"/>
  <c r="H48" i="12"/>
  <c r="J48" i="12"/>
  <c r="K48" i="12"/>
  <c r="G51" i="12"/>
  <c r="H51" i="12"/>
  <c r="J51" i="12"/>
  <c r="K51" i="12"/>
  <c r="G52" i="12"/>
  <c r="H52" i="12"/>
  <c r="K52" i="12" s="1"/>
  <c r="J52" i="12"/>
  <c r="G53" i="12"/>
  <c r="H53" i="12"/>
  <c r="J53" i="12"/>
  <c r="K53" i="12"/>
  <c r="G54" i="12"/>
  <c r="H54" i="12" s="1"/>
  <c r="J54" i="12"/>
  <c r="G55" i="12"/>
  <c r="H55" i="12"/>
  <c r="J55" i="12"/>
  <c r="K55" i="12"/>
  <c r="G56" i="12"/>
  <c r="H56" i="12" s="1"/>
  <c r="K56" i="12" s="1"/>
  <c r="J56" i="12"/>
  <c r="G57" i="12"/>
  <c r="H57" i="12"/>
  <c r="J57" i="12"/>
  <c r="K57" i="12"/>
  <c r="G58" i="12"/>
  <c r="H58" i="12" s="1"/>
  <c r="K58" i="12" s="1"/>
  <c r="J58" i="12"/>
  <c r="G59" i="12"/>
  <c r="H59" i="12"/>
  <c r="J59" i="12"/>
  <c r="K59" i="12"/>
  <c r="G60" i="12"/>
  <c r="H60" i="12" s="1"/>
  <c r="K60" i="12" s="1"/>
  <c r="J60" i="12"/>
  <c r="G61" i="12"/>
  <c r="H61" i="12"/>
  <c r="J61" i="12"/>
  <c r="K61" i="12"/>
  <c r="G62" i="12"/>
  <c r="H62" i="12"/>
  <c r="K62" i="12" s="1"/>
  <c r="J62" i="12"/>
  <c r="G63" i="12"/>
  <c r="H63" i="12"/>
  <c r="J63" i="12"/>
  <c r="K63" i="12"/>
  <c r="G64" i="12"/>
  <c r="H64" i="12"/>
  <c r="K64" i="12" s="1"/>
  <c r="J64" i="12"/>
  <c r="G65" i="12"/>
  <c r="H65" i="12"/>
  <c r="J65" i="12"/>
  <c r="K65" i="12"/>
  <c r="G66" i="12"/>
  <c r="H66" i="12"/>
  <c r="K66" i="12" s="1"/>
  <c r="J66" i="12"/>
  <c r="G67" i="12"/>
  <c r="H67" i="12"/>
  <c r="J67" i="12"/>
  <c r="K67" i="12"/>
  <c r="G68" i="12"/>
  <c r="H68" i="12"/>
  <c r="K68" i="12" s="1"/>
  <c r="J68" i="12"/>
  <c r="G69" i="12"/>
  <c r="H69" i="12"/>
  <c r="J69" i="12"/>
  <c r="K69" i="12"/>
  <c r="G72" i="12"/>
  <c r="H72" i="12" s="1"/>
  <c r="K72" i="12" s="1"/>
  <c r="J72" i="12"/>
  <c r="G73" i="12"/>
  <c r="H73" i="12"/>
  <c r="K73" i="12" s="1"/>
  <c r="J73" i="12"/>
  <c r="G74" i="12"/>
  <c r="H74" i="12" s="1"/>
  <c r="K74" i="12" s="1"/>
  <c r="J74" i="12"/>
  <c r="G75" i="12"/>
  <c r="H75" i="12"/>
  <c r="J75" i="12"/>
  <c r="K75" i="12"/>
  <c r="G76" i="12"/>
  <c r="H76" i="12" s="1"/>
  <c r="K76" i="12" s="1"/>
  <c r="J76" i="12"/>
  <c r="G77" i="12"/>
  <c r="H77" i="12"/>
  <c r="J77" i="12"/>
  <c r="K77" i="12"/>
  <c r="G78" i="12"/>
  <c r="H78" i="12" s="1"/>
  <c r="K78" i="12" s="1"/>
  <c r="J78" i="12"/>
  <c r="G79" i="12"/>
  <c r="H79" i="12"/>
  <c r="K79" i="12" s="1"/>
  <c r="J79" i="12"/>
  <c r="G80" i="12"/>
  <c r="H80" i="12" s="1"/>
  <c r="K80" i="12" s="1"/>
  <c r="J80" i="12"/>
  <c r="G81" i="12"/>
  <c r="H81" i="12"/>
  <c r="K81" i="12" s="1"/>
  <c r="J81" i="12"/>
  <c r="G84" i="12"/>
  <c r="H84" i="12"/>
  <c r="J84" i="12"/>
  <c r="K84" i="12"/>
  <c r="G85" i="12"/>
  <c r="H85" i="12" s="1"/>
  <c r="J85" i="12"/>
  <c r="G86" i="12"/>
  <c r="H86" i="12"/>
  <c r="J86" i="12"/>
  <c r="K86" i="12"/>
  <c r="G87" i="12"/>
  <c r="H87" i="12"/>
  <c r="K87" i="12" s="1"/>
  <c r="J87" i="12"/>
  <c r="G88" i="12"/>
  <c r="H88" i="12"/>
  <c r="J88" i="12"/>
  <c r="K88" i="12"/>
  <c r="G89" i="12"/>
  <c r="H89" i="12"/>
  <c r="K89" i="12" s="1"/>
  <c r="J89" i="12"/>
  <c r="G90" i="12"/>
  <c r="H90" i="12"/>
  <c r="J90" i="12"/>
  <c r="K90" i="12"/>
  <c r="G91" i="12"/>
  <c r="H91" i="12" s="1"/>
  <c r="K91" i="12" s="1"/>
  <c r="J91" i="12"/>
  <c r="G92" i="12"/>
  <c r="H92" i="12"/>
  <c r="J92" i="12"/>
  <c r="K92" i="12"/>
  <c r="G93" i="12"/>
  <c r="H93" i="12"/>
  <c r="K93" i="12" s="1"/>
  <c r="J93" i="12"/>
  <c r="G94" i="12"/>
  <c r="H94" i="12"/>
  <c r="J94" i="12"/>
  <c r="K94" i="12"/>
  <c r="G95" i="12"/>
  <c r="H95" i="12" s="1"/>
  <c r="K95" i="12" s="1"/>
  <c r="J95" i="12"/>
  <c r="G98" i="12"/>
  <c r="H98" i="12"/>
  <c r="J98" i="12"/>
  <c r="K98" i="12"/>
  <c r="G99" i="12"/>
  <c r="H99" i="12" s="1"/>
  <c r="K99" i="12" s="1"/>
  <c r="J99" i="12"/>
  <c r="G100" i="12"/>
  <c r="H100" i="12"/>
  <c r="J100" i="12"/>
  <c r="K100" i="12"/>
  <c r="H101" i="12"/>
  <c r="K101" i="12" s="1"/>
  <c r="G103" i="12"/>
  <c r="H103" i="12" s="1"/>
  <c r="J103" i="12"/>
  <c r="G104" i="12"/>
  <c r="H104" i="12"/>
  <c r="K104" i="12" s="1"/>
  <c r="J104" i="12"/>
  <c r="G105" i="12"/>
  <c r="H105" i="12" s="1"/>
  <c r="J105" i="12"/>
  <c r="K105" i="12"/>
  <c r="G106" i="12"/>
  <c r="H106" i="12" s="1"/>
  <c r="K106" i="12" s="1"/>
  <c r="J106" i="12"/>
  <c r="G107" i="12"/>
  <c r="H107" i="12" s="1"/>
  <c r="J107" i="12"/>
  <c r="K107" i="12"/>
  <c r="G108" i="12"/>
  <c r="H108" i="12" s="1"/>
  <c r="K108" i="12" s="1"/>
  <c r="J108" i="12"/>
  <c r="G109" i="12"/>
  <c r="H109" i="12"/>
  <c r="J109" i="12"/>
  <c r="K109" i="12"/>
  <c r="G110" i="12"/>
  <c r="H110" i="12"/>
  <c r="K110" i="12" s="1"/>
  <c r="J110" i="12"/>
  <c r="G111" i="12"/>
  <c r="H111" i="12"/>
  <c r="J111" i="12"/>
  <c r="K111" i="12"/>
  <c r="G112" i="12"/>
  <c r="H112" i="12"/>
  <c r="K112" i="12" s="1"/>
  <c r="J112" i="12"/>
  <c r="G113" i="12"/>
  <c r="H113" i="12"/>
  <c r="J113" i="12"/>
  <c r="K113" i="12"/>
  <c r="G114" i="12"/>
  <c r="H114" i="12" s="1"/>
  <c r="K114" i="12" s="1"/>
  <c r="J114" i="12"/>
  <c r="G115" i="12"/>
  <c r="H115" i="12"/>
  <c r="J115" i="12"/>
  <c r="K115" i="12"/>
  <c r="G118" i="12"/>
  <c r="H118" i="12" s="1"/>
  <c r="K118" i="12" s="1"/>
  <c r="J118" i="12"/>
  <c r="G119" i="12"/>
  <c r="H119" i="12"/>
  <c r="K119" i="12" s="1"/>
  <c r="J119" i="12"/>
  <c r="G120" i="12"/>
  <c r="H120" i="12" s="1"/>
  <c r="K120" i="12" s="1"/>
  <c r="J120" i="12"/>
  <c r="G121" i="12"/>
  <c r="H121" i="12"/>
  <c r="J121" i="12"/>
  <c r="K121" i="12"/>
  <c r="G122" i="12"/>
  <c r="H122" i="12" s="1"/>
  <c r="K122" i="12" s="1"/>
  <c r="J122" i="12"/>
  <c r="G123" i="12"/>
  <c r="H123" i="12"/>
  <c r="J123" i="12"/>
  <c r="K123" i="12"/>
  <c r="G124" i="12"/>
  <c r="H124" i="12" s="1"/>
  <c r="K124" i="12" s="1"/>
  <c r="J124" i="12"/>
  <c r="G125" i="12"/>
  <c r="H125" i="12"/>
  <c r="J125" i="12"/>
  <c r="K125" i="12"/>
  <c r="G126" i="12"/>
  <c r="H126" i="12" s="1"/>
  <c r="K126" i="12" s="1"/>
  <c r="J126" i="12"/>
  <c r="G127" i="12"/>
  <c r="H127" i="12"/>
  <c r="K127" i="12" s="1"/>
  <c r="J127" i="12"/>
  <c r="G128" i="12"/>
  <c r="H128" i="12" s="1"/>
  <c r="K128" i="12" s="1"/>
  <c r="J128" i="12"/>
  <c r="G129" i="12"/>
  <c r="H129" i="12"/>
  <c r="J129" i="12"/>
  <c r="K129" i="12"/>
  <c r="G130" i="12"/>
  <c r="H130" i="12" s="1"/>
  <c r="K130" i="12" s="1"/>
  <c r="J130" i="12"/>
  <c r="G131" i="12"/>
  <c r="H131" i="12"/>
  <c r="J131" i="12"/>
  <c r="K131" i="12"/>
  <c r="H132" i="12"/>
  <c r="K132" i="12" s="1"/>
  <c r="G134" i="12"/>
  <c r="H134" i="12"/>
  <c r="J134" i="12"/>
  <c r="K134" i="12"/>
  <c r="G135" i="12"/>
  <c r="H135" i="12"/>
  <c r="J135" i="12"/>
  <c r="G136" i="12"/>
  <c r="H136" i="12"/>
  <c r="J136" i="12"/>
  <c r="K136" i="12"/>
  <c r="G137" i="12"/>
  <c r="H137" i="12"/>
  <c r="K137" i="12" s="1"/>
  <c r="J137" i="12"/>
  <c r="G138" i="12"/>
  <c r="H138" i="12"/>
  <c r="J138" i="12"/>
  <c r="K138" i="12"/>
  <c r="G139" i="12"/>
  <c r="H139" i="12"/>
  <c r="K139" i="12" s="1"/>
  <c r="J139" i="12"/>
  <c r="C13" i="11"/>
  <c r="D13" i="11"/>
  <c r="E13" i="11"/>
  <c r="F13" i="11"/>
  <c r="F29" i="11" s="1"/>
  <c r="G13" i="11"/>
  <c r="H13" i="11"/>
  <c r="I13" i="11"/>
  <c r="J13" i="11"/>
  <c r="K13" i="11"/>
  <c r="L13" i="11"/>
  <c r="L29" i="11" s="1"/>
  <c r="M13" i="11"/>
  <c r="M29" i="11" s="1"/>
  <c r="C15" i="11"/>
  <c r="D15" i="11"/>
  <c r="F15" i="11"/>
  <c r="J15" i="11"/>
  <c r="J29" i="11" s="1"/>
  <c r="K15" i="11"/>
  <c r="K29" i="11" s="1"/>
  <c r="M15" i="11"/>
  <c r="H17" i="11"/>
  <c r="I17" i="11"/>
  <c r="J17" i="11"/>
  <c r="H18" i="11"/>
  <c r="H15" i="11" s="1"/>
  <c r="H29" i="11" s="1"/>
  <c r="L18" i="11"/>
  <c r="L15" i="11" s="1"/>
  <c r="G19" i="11"/>
  <c r="G15" i="11" s="1"/>
  <c r="I19" i="11"/>
  <c r="J19" i="11"/>
  <c r="C20" i="11"/>
  <c r="E20" i="11"/>
  <c r="H20" i="11"/>
  <c r="I20" i="11"/>
  <c r="I15" i="11" s="1"/>
  <c r="I29" i="11" s="1"/>
  <c r="E21" i="11"/>
  <c r="B27" i="11"/>
  <c r="C29" i="11"/>
  <c r="D29" i="11"/>
  <c r="J32" i="11"/>
  <c r="C39" i="11"/>
  <c r="C8" i="10"/>
  <c r="D8" i="10"/>
  <c r="G8" i="10"/>
  <c r="G12" i="10" s="1"/>
  <c r="H8" i="10"/>
  <c r="I8" i="10"/>
  <c r="I9" i="10" s="1"/>
  <c r="C9" i="10"/>
  <c r="D9" i="10"/>
  <c r="D12" i="10" s="1"/>
  <c r="D22" i="10" s="1"/>
  <c r="D11" i="10"/>
  <c r="D21" i="10" s="1"/>
  <c r="G11" i="10"/>
  <c r="G21" i="10" s="1"/>
  <c r="H11" i="10"/>
  <c r="I13" i="10"/>
  <c r="I23" i="10" s="1"/>
  <c r="C16" i="10"/>
  <c r="D16" i="10"/>
  <c r="G16" i="10"/>
  <c r="H16" i="10"/>
  <c r="I16" i="10"/>
  <c r="G18" i="10"/>
  <c r="C26" i="10"/>
  <c r="D26" i="10"/>
  <c r="C31" i="10"/>
  <c r="D31" i="10"/>
  <c r="C8" i="9"/>
  <c r="C24" i="9" s="1"/>
  <c r="D8" i="9"/>
  <c r="D24" i="9" s="1"/>
  <c r="E8" i="9"/>
  <c r="F8" i="9"/>
  <c r="G8" i="9"/>
  <c r="H8" i="9"/>
  <c r="C10" i="9"/>
  <c r="D10" i="9"/>
  <c r="E10" i="9"/>
  <c r="F10" i="9"/>
  <c r="F24" i="9" s="1"/>
  <c r="D12" i="9"/>
  <c r="E12" i="9"/>
  <c r="G12" i="9"/>
  <c r="G10" i="9" s="1"/>
  <c r="H12" i="9"/>
  <c r="H10" i="9" s="1"/>
  <c r="D13" i="9"/>
  <c r="E13" i="9"/>
  <c r="G13" i="9"/>
  <c r="E14" i="9"/>
  <c r="E15" i="9"/>
  <c r="B22" i="9"/>
  <c r="C32" i="9" s="1"/>
  <c r="G24" i="9"/>
  <c r="H24" i="9"/>
  <c r="E27" i="9"/>
  <c r="G5" i="8"/>
  <c r="H5" i="8" s="1"/>
  <c r="J5" i="8"/>
  <c r="G6" i="8"/>
  <c r="H6" i="8" s="1"/>
  <c r="K6" i="8" s="1"/>
  <c r="J6" i="8"/>
  <c r="G7" i="8"/>
  <c r="H7" i="8"/>
  <c r="J7" i="8"/>
  <c r="K7" i="8"/>
  <c r="G8" i="8"/>
  <c r="H8" i="8" s="1"/>
  <c r="K8" i="8" s="1"/>
  <c r="J8" i="8"/>
  <c r="G9" i="8"/>
  <c r="H9" i="8"/>
  <c r="J9" i="8"/>
  <c r="K9" i="8"/>
  <c r="G10" i="8"/>
  <c r="H10" i="8" s="1"/>
  <c r="K10" i="8" s="1"/>
  <c r="J10" i="8"/>
  <c r="G11" i="8"/>
  <c r="H11" i="8" s="1"/>
  <c r="K11" i="8" s="1"/>
  <c r="J11" i="8"/>
  <c r="G12" i="8"/>
  <c r="H12" i="8" s="1"/>
  <c r="K12" i="8" s="1"/>
  <c r="J12" i="8"/>
  <c r="G13" i="8"/>
  <c r="H13" i="8" s="1"/>
  <c r="K13" i="8" s="1"/>
  <c r="J13" i="8"/>
  <c r="G14" i="8"/>
  <c r="H14" i="8" s="1"/>
  <c r="K14" i="8" s="1"/>
  <c r="J14" i="8"/>
  <c r="G15" i="8"/>
  <c r="H15" i="8"/>
  <c r="J15" i="8"/>
  <c r="K15" i="8"/>
  <c r="G16" i="8"/>
  <c r="H16" i="8" s="1"/>
  <c r="K16" i="8" s="1"/>
  <c r="J16" i="8"/>
  <c r="G17" i="8"/>
  <c r="H17" i="8"/>
  <c r="J17" i="8"/>
  <c r="K17" i="8"/>
  <c r="G20" i="8"/>
  <c r="H20" i="8"/>
  <c r="J20" i="8"/>
  <c r="K20" i="8"/>
  <c r="G21" i="8"/>
  <c r="H21" i="8"/>
  <c r="K21" i="8" s="1"/>
  <c r="J21" i="8"/>
  <c r="G22" i="8"/>
  <c r="H22" i="8"/>
  <c r="J22" i="8"/>
  <c r="K22" i="8"/>
  <c r="G23" i="8"/>
  <c r="H23" i="8"/>
  <c r="K23" i="8" s="1"/>
  <c r="J23" i="8"/>
  <c r="G24" i="8"/>
  <c r="H24" i="8"/>
  <c r="J24" i="8"/>
  <c r="K24" i="8"/>
  <c r="G25" i="8"/>
  <c r="H25" i="8" s="1"/>
  <c r="J25" i="8"/>
  <c r="G26" i="8"/>
  <c r="H26" i="8"/>
  <c r="J26" i="8"/>
  <c r="K26" i="8"/>
  <c r="G29" i="8"/>
  <c r="H29" i="8" s="1"/>
  <c r="J29" i="8"/>
  <c r="G30" i="8"/>
  <c r="H30" i="8"/>
  <c r="J30" i="8"/>
  <c r="K30" i="8"/>
  <c r="G31" i="8"/>
  <c r="H31" i="8" s="1"/>
  <c r="K31" i="8" s="1"/>
  <c r="J31" i="8"/>
  <c r="G32" i="8"/>
  <c r="H32" i="8"/>
  <c r="J32" i="8"/>
  <c r="K32" i="8"/>
  <c r="G33" i="8"/>
  <c r="H33" i="8" s="1"/>
  <c r="K33" i="8" s="1"/>
  <c r="J33" i="8"/>
  <c r="G34" i="8"/>
  <c r="H34" i="8" s="1"/>
  <c r="K34" i="8" s="1"/>
  <c r="J34" i="8"/>
  <c r="G35" i="8"/>
  <c r="H35" i="8" s="1"/>
  <c r="K35" i="8" s="1"/>
  <c r="J35" i="8"/>
  <c r="G36" i="8"/>
  <c r="H36" i="8"/>
  <c r="K36" i="8" s="1"/>
  <c r="J36" i="8"/>
  <c r="G39" i="8"/>
  <c r="H39" i="8"/>
  <c r="J39" i="8"/>
  <c r="K39" i="8"/>
  <c r="G40" i="8"/>
  <c r="H40" i="8"/>
  <c r="K40" i="8" s="1"/>
  <c r="J40" i="8"/>
  <c r="G41" i="8"/>
  <c r="H41" i="8"/>
  <c r="J41" i="8"/>
  <c r="K41" i="8"/>
  <c r="G42" i="8"/>
  <c r="H42" i="8"/>
  <c r="K42" i="8" s="1"/>
  <c r="J42" i="8"/>
  <c r="G43" i="8"/>
  <c r="H43" i="8"/>
  <c r="J43" i="8"/>
  <c r="K43" i="8"/>
  <c r="G44" i="8"/>
  <c r="H44" i="8"/>
  <c r="K44" i="8" s="1"/>
  <c r="J44" i="8"/>
  <c r="G45" i="8"/>
  <c r="H45" i="8"/>
  <c r="J45" i="8"/>
  <c r="K45" i="8"/>
  <c r="G46" i="8"/>
  <c r="H46" i="8"/>
  <c r="K46" i="8" s="1"/>
  <c r="J46" i="8"/>
  <c r="G47" i="8"/>
  <c r="H47" i="8"/>
  <c r="J47" i="8"/>
  <c r="K47" i="8"/>
  <c r="G48" i="8"/>
  <c r="H48" i="8"/>
  <c r="K48" i="8" s="1"/>
  <c r="J48" i="8"/>
  <c r="G51" i="8"/>
  <c r="H51" i="8"/>
  <c r="J51" i="8"/>
  <c r="K51" i="8"/>
  <c r="G52" i="8"/>
  <c r="H52" i="8" s="1"/>
  <c r="K52" i="8" s="1"/>
  <c r="J52" i="8"/>
  <c r="G53" i="8"/>
  <c r="H53" i="8"/>
  <c r="J53" i="8"/>
  <c r="K53" i="8"/>
  <c r="G54" i="8"/>
  <c r="H54" i="8" s="1"/>
  <c r="K54" i="8" s="1"/>
  <c r="J54" i="8"/>
  <c r="G55" i="8"/>
  <c r="H55" i="8" s="1"/>
  <c r="K55" i="8" s="1"/>
  <c r="J55" i="8"/>
  <c r="G56" i="8"/>
  <c r="H56" i="8" s="1"/>
  <c r="K56" i="8" s="1"/>
  <c r="J56" i="8"/>
  <c r="G57" i="8"/>
  <c r="H57" i="8" s="1"/>
  <c r="K57" i="8" s="1"/>
  <c r="J57" i="8"/>
  <c r="G58" i="8"/>
  <c r="H58" i="8" s="1"/>
  <c r="K58" i="8" s="1"/>
  <c r="J58" i="8"/>
  <c r="G59" i="8"/>
  <c r="H59" i="8"/>
  <c r="J59" i="8"/>
  <c r="K59" i="8"/>
  <c r="G60" i="8"/>
  <c r="H60" i="8" s="1"/>
  <c r="K60" i="8" s="1"/>
  <c r="J60" i="8"/>
  <c r="G61" i="8"/>
  <c r="H61" i="8"/>
  <c r="J61" i="8"/>
  <c r="K61" i="8"/>
  <c r="G62" i="8"/>
  <c r="H62" i="8" s="1"/>
  <c r="K62" i="8" s="1"/>
  <c r="J62" i="8"/>
  <c r="G63" i="8"/>
  <c r="H63" i="8" s="1"/>
  <c r="K63" i="8" s="1"/>
  <c r="J63" i="8"/>
  <c r="G64" i="8"/>
  <c r="H64" i="8" s="1"/>
  <c r="K64" i="8" s="1"/>
  <c r="J64" i="8"/>
  <c r="G65" i="8"/>
  <c r="H65" i="8" s="1"/>
  <c r="K65" i="8" s="1"/>
  <c r="J65" i="8"/>
  <c r="G66" i="8"/>
  <c r="H66" i="8" s="1"/>
  <c r="K66" i="8" s="1"/>
  <c r="J66" i="8"/>
  <c r="G67" i="8"/>
  <c r="H67" i="8"/>
  <c r="J67" i="8"/>
  <c r="K67" i="8"/>
  <c r="G68" i="8"/>
  <c r="H68" i="8" s="1"/>
  <c r="K68" i="8" s="1"/>
  <c r="J68" i="8"/>
  <c r="G69" i="8"/>
  <c r="H69" i="8"/>
  <c r="J69" i="8"/>
  <c r="K69" i="8"/>
  <c r="G72" i="8"/>
  <c r="H72" i="8"/>
  <c r="J72" i="8"/>
  <c r="K72" i="8"/>
  <c r="G73" i="8"/>
  <c r="H73" i="8"/>
  <c r="J73" i="8"/>
  <c r="G74" i="8"/>
  <c r="H74" i="8"/>
  <c r="J74" i="8"/>
  <c r="K74" i="8"/>
  <c r="G75" i="8"/>
  <c r="H75" i="8"/>
  <c r="K75" i="8" s="1"/>
  <c r="J75" i="8"/>
  <c r="G76" i="8"/>
  <c r="H76" i="8"/>
  <c r="J76" i="8"/>
  <c r="K76" i="8"/>
  <c r="G77" i="8"/>
  <c r="H77" i="8" s="1"/>
  <c r="K77" i="8" s="1"/>
  <c r="J77" i="8"/>
  <c r="G78" i="8"/>
  <c r="H78" i="8"/>
  <c r="J78" i="8"/>
  <c r="K78" i="8"/>
  <c r="G79" i="8"/>
  <c r="H79" i="8" s="1"/>
  <c r="K79" i="8" s="1"/>
  <c r="J79" i="8"/>
  <c r="G80" i="8"/>
  <c r="H80" i="8"/>
  <c r="J80" i="8"/>
  <c r="K80" i="8"/>
  <c r="G81" i="8"/>
  <c r="H81" i="8" s="1"/>
  <c r="K81" i="8" s="1"/>
  <c r="J81" i="8"/>
  <c r="G84" i="8"/>
  <c r="H84" i="8"/>
  <c r="J84" i="8"/>
  <c r="K84" i="8"/>
  <c r="G85" i="8"/>
  <c r="H85" i="8" s="1"/>
  <c r="K85" i="8" s="1"/>
  <c r="J85" i="8"/>
  <c r="G86" i="8"/>
  <c r="H86" i="8" s="1"/>
  <c r="J86" i="8"/>
  <c r="G87" i="8"/>
  <c r="H87" i="8" s="1"/>
  <c r="K87" i="8" s="1"/>
  <c r="J87" i="8"/>
  <c r="G88" i="8"/>
  <c r="H88" i="8"/>
  <c r="K88" i="8" s="1"/>
  <c r="J88" i="8"/>
  <c r="G89" i="8"/>
  <c r="H89" i="8" s="1"/>
  <c r="K89" i="8" s="1"/>
  <c r="J89" i="8"/>
  <c r="G90" i="8"/>
  <c r="H90" i="8"/>
  <c r="J90" i="8"/>
  <c r="K90" i="8"/>
  <c r="G91" i="8"/>
  <c r="H91" i="8" s="1"/>
  <c r="K91" i="8" s="1"/>
  <c r="J91" i="8"/>
  <c r="G92" i="8"/>
  <c r="H92" i="8"/>
  <c r="J92" i="8"/>
  <c r="K92" i="8"/>
  <c r="G93" i="8"/>
  <c r="H93" i="8" s="1"/>
  <c r="K93" i="8" s="1"/>
  <c r="J93" i="8"/>
  <c r="G94" i="8"/>
  <c r="H94" i="8" s="1"/>
  <c r="K94" i="8" s="1"/>
  <c r="J94" i="8"/>
  <c r="G95" i="8"/>
  <c r="H95" i="8" s="1"/>
  <c r="K95" i="8" s="1"/>
  <c r="J95" i="8"/>
  <c r="G98" i="8"/>
  <c r="H98" i="8" s="1"/>
  <c r="J98" i="8"/>
  <c r="G99" i="8"/>
  <c r="H99" i="8" s="1"/>
  <c r="J99" i="8"/>
  <c r="K99" i="8"/>
  <c r="G100" i="8"/>
  <c r="H100" i="8"/>
  <c r="K100" i="8" s="1"/>
  <c r="J100" i="8"/>
  <c r="G103" i="8"/>
  <c r="H103" i="8" s="1"/>
  <c r="J103" i="8"/>
  <c r="G104" i="8"/>
  <c r="H104" i="8" s="1"/>
  <c r="K104" i="8" s="1"/>
  <c r="J104" i="8"/>
  <c r="G105" i="8"/>
  <c r="H105" i="8" s="1"/>
  <c r="K105" i="8" s="1"/>
  <c r="J105" i="8"/>
  <c r="G106" i="8"/>
  <c r="H106" i="8" s="1"/>
  <c r="K106" i="8" s="1"/>
  <c r="J106" i="8"/>
  <c r="G107" i="8"/>
  <c r="H107" i="8"/>
  <c r="J107" i="8"/>
  <c r="K107" i="8"/>
  <c r="G108" i="8"/>
  <c r="H108" i="8" s="1"/>
  <c r="K108" i="8" s="1"/>
  <c r="J108" i="8"/>
  <c r="G109" i="8"/>
  <c r="H109" i="8"/>
  <c r="J109" i="8"/>
  <c r="K109" i="8"/>
  <c r="G110" i="8"/>
  <c r="H110" i="8" s="1"/>
  <c r="K110" i="8" s="1"/>
  <c r="J110" i="8"/>
  <c r="G111" i="8"/>
  <c r="H111" i="8" s="1"/>
  <c r="K111" i="8" s="1"/>
  <c r="J111" i="8"/>
  <c r="G112" i="8"/>
  <c r="H112" i="8" s="1"/>
  <c r="K112" i="8" s="1"/>
  <c r="J112" i="8"/>
  <c r="G113" i="8"/>
  <c r="H113" i="8" s="1"/>
  <c r="K113" i="8" s="1"/>
  <c r="J113" i="8"/>
  <c r="G114" i="8"/>
  <c r="H114" i="8" s="1"/>
  <c r="K114" i="8" s="1"/>
  <c r="J114" i="8"/>
  <c r="G115" i="8"/>
  <c r="H115" i="8"/>
  <c r="J115" i="8"/>
  <c r="K115" i="8"/>
  <c r="G118" i="8"/>
  <c r="H118" i="8" s="1"/>
  <c r="J118" i="8"/>
  <c r="G119" i="8"/>
  <c r="H119" i="8"/>
  <c r="K119" i="8" s="1"/>
  <c r="J119" i="8"/>
  <c r="G120" i="8"/>
  <c r="H120" i="8" s="1"/>
  <c r="K120" i="8" s="1"/>
  <c r="J120" i="8"/>
  <c r="G121" i="8"/>
  <c r="H121" i="8"/>
  <c r="K121" i="8" s="1"/>
  <c r="J121" i="8"/>
  <c r="G122" i="8"/>
  <c r="H122" i="8" s="1"/>
  <c r="J122" i="8"/>
  <c r="K122" i="8"/>
  <c r="G123" i="8"/>
  <c r="H123" i="8" s="1"/>
  <c r="K123" i="8" s="1"/>
  <c r="J123" i="8"/>
  <c r="G124" i="8"/>
  <c r="H124" i="8" s="1"/>
  <c r="J124" i="8"/>
  <c r="K124" i="8"/>
  <c r="G125" i="8"/>
  <c r="H125" i="8"/>
  <c r="K125" i="8" s="1"/>
  <c r="J125" i="8"/>
  <c r="G126" i="8"/>
  <c r="H126" i="8" s="1"/>
  <c r="K126" i="8" s="1"/>
  <c r="J126" i="8"/>
  <c r="G127" i="8"/>
  <c r="H127" i="8"/>
  <c r="K127" i="8" s="1"/>
  <c r="J127" i="8"/>
  <c r="G128" i="8"/>
  <c r="H128" i="8" s="1"/>
  <c r="K128" i="8" s="1"/>
  <c r="J128" i="8"/>
  <c r="G129" i="8"/>
  <c r="H129" i="8"/>
  <c r="K129" i="8" s="1"/>
  <c r="J129" i="8"/>
  <c r="G130" i="8"/>
  <c r="H130" i="8" s="1"/>
  <c r="J130" i="8"/>
  <c r="K130" i="8"/>
  <c r="G131" i="8"/>
  <c r="H131" i="8" s="1"/>
  <c r="K131" i="8" s="1"/>
  <c r="J131" i="8"/>
  <c r="G134" i="8"/>
  <c r="H134" i="8"/>
  <c r="J134" i="8"/>
  <c r="K134" i="8"/>
  <c r="G135" i="8"/>
  <c r="H135" i="8" s="1"/>
  <c r="K135" i="8" s="1"/>
  <c r="J135" i="8"/>
  <c r="G136" i="8"/>
  <c r="H136" i="8" s="1"/>
  <c r="K136" i="8" s="1"/>
  <c r="J136" i="8"/>
  <c r="G137" i="8"/>
  <c r="H137" i="8" s="1"/>
  <c r="K137" i="8" s="1"/>
  <c r="J137" i="8"/>
  <c r="G138" i="8"/>
  <c r="H138" i="8" s="1"/>
  <c r="K138" i="8" s="1"/>
  <c r="J138" i="8"/>
  <c r="G139" i="8"/>
  <c r="H139" i="8" s="1"/>
  <c r="K139" i="8" s="1"/>
  <c r="J139" i="8"/>
  <c r="D5" i="7"/>
  <c r="D6" i="7" s="1"/>
  <c r="E5" i="7"/>
  <c r="F5" i="7"/>
  <c r="K5" i="7"/>
  <c r="D7" i="7"/>
  <c r="E7" i="7"/>
  <c r="F7" i="7"/>
  <c r="K7" i="7"/>
  <c r="K16" i="7" s="1"/>
  <c r="H10" i="7"/>
  <c r="K10" i="7"/>
  <c r="D11" i="7"/>
  <c r="F15" i="7"/>
  <c r="D16" i="7"/>
  <c r="D17" i="7" s="1"/>
  <c r="F16" i="7"/>
  <c r="F22" i="7" s="1"/>
  <c r="G16" i="7"/>
  <c r="G18" i="7"/>
  <c r="I18" i="7"/>
  <c r="D22" i="7"/>
  <c r="K27" i="7"/>
  <c r="K29" i="7"/>
  <c r="G30" i="7"/>
  <c r="H30" i="7"/>
  <c r="D31" i="7"/>
  <c r="G31" i="7"/>
  <c r="H31" i="7"/>
  <c r="G33" i="7"/>
  <c r="C6" i="6"/>
  <c r="D6" i="6"/>
  <c r="E6" i="6"/>
  <c r="F6" i="6"/>
  <c r="F8" i="6" s="1"/>
  <c r="J6" i="6"/>
  <c r="P6" i="6"/>
  <c r="P10" i="6" s="1"/>
  <c r="Q6" i="6"/>
  <c r="Q8" i="6" s="1"/>
  <c r="R6" i="6"/>
  <c r="S6" i="6"/>
  <c r="T6" i="6"/>
  <c r="U6" i="6"/>
  <c r="V6" i="6"/>
  <c r="V8" i="6" s="1"/>
  <c r="W6" i="6"/>
  <c r="W12" i="6" s="1"/>
  <c r="Y6" i="6"/>
  <c r="Y12" i="6" s="1"/>
  <c r="C8" i="6"/>
  <c r="D8" i="6"/>
  <c r="E8" i="6"/>
  <c r="G8" i="6"/>
  <c r="H8" i="6"/>
  <c r="I8" i="6"/>
  <c r="J8" i="6"/>
  <c r="K8" i="6"/>
  <c r="L8" i="6"/>
  <c r="M8" i="6"/>
  <c r="N8" i="6"/>
  <c r="O8" i="6"/>
  <c r="R8" i="6"/>
  <c r="R15" i="6" s="1"/>
  <c r="S8" i="6"/>
  <c r="T8" i="6"/>
  <c r="U8" i="6"/>
  <c r="W8" i="6"/>
  <c r="X8" i="6"/>
  <c r="X15" i="6" s="1"/>
  <c r="M10" i="6"/>
  <c r="N10" i="6"/>
  <c r="B10" i="6" s="1"/>
  <c r="O10" i="6"/>
  <c r="Q10" i="6"/>
  <c r="C11" i="6"/>
  <c r="D11" i="6"/>
  <c r="E11" i="6"/>
  <c r="F11" i="6"/>
  <c r="G11" i="6"/>
  <c r="H11" i="6"/>
  <c r="I11" i="6"/>
  <c r="B11" i="6" s="1"/>
  <c r="J11" i="6"/>
  <c r="K11" i="6"/>
  <c r="L11" i="6"/>
  <c r="P11" i="6"/>
  <c r="Q11" i="6"/>
  <c r="R12" i="6"/>
  <c r="S12" i="6"/>
  <c r="T12" i="6"/>
  <c r="U12" i="6"/>
  <c r="V12" i="6"/>
  <c r="X12" i="6"/>
  <c r="F15" i="6"/>
  <c r="G15" i="6"/>
  <c r="H15" i="6"/>
  <c r="O15" i="6"/>
  <c r="S15" i="6"/>
  <c r="C16" i="6"/>
  <c r="D16" i="6"/>
  <c r="D17" i="6" s="1"/>
  <c r="D35" i="6" s="1"/>
  <c r="E16" i="6"/>
  <c r="E17" i="6" s="1"/>
  <c r="E35" i="6" s="1"/>
  <c r="F16" i="6"/>
  <c r="G16" i="6"/>
  <c r="H16" i="6"/>
  <c r="I16" i="6"/>
  <c r="I15" i="6" s="1"/>
  <c r="J16" i="6"/>
  <c r="J17" i="6" s="1"/>
  <c r="K16" i="6"/>
  <c r="K17" i="6" s="1"/>
  <c r="L16" i="6"/>
  <c r="L15" i="6" s="1"/>
  <c r="M16" i="6"/>
  <c r="M17" i="6" s="1"/>
  <c r="N16" i="6"/>
  <c r="N17" i="6" s="1"/>
  <c r="N35" i="6" s="1"/>
  <c r="P16" i="6"/>
  <c r="Q16" i="6"/>
  <c r="R16" i="6"/>
  <c r="S16" i="6"/>
  <c r="T16" i="6"/>
  <c r="T15" i="6" s="1"/>
  <c r="U16" i="6"/>
  <c r="U17" i="6" s="1"/>
  <c r="U35" i="6" s="1"/>
  <c r="V16" i="6"/>
  <c r="V15" i="6" s="1"/>
  <c r="W16" i="6"/>
  <c r="W15" i="6" s="1"/>
  <c r="X16" i="6"/>
  <c r="Y16" i="6"/>
  <c r="F17" i="6"/>
  <c r="F35" i="6" s="1"/>
  <c r="G17" i="6"/>
  <c r="G35" i="6" s="1"/>
  <c r="H17" i="6"/>
  <c r="H35" i="6" s="1"/>
  <c r="I17" i="6"/>
  <c r="O17" i="6"/>
  <c r="O35" i="6" s="1"/>
  <c r="P17" i="6"/>
  <c r="P35" i="6" s="1"/>
  <c r="Q17" i="6"/>
  <c r="Q35" i="6" s="1"/>
  <c r="R17" i="6"/>
  <c r="S17" i="6"/>
  <c r="X17" i="6"/>
  <c r="X35" i="6" s="1"/>
  <c r="Y17" i="6"/>
  <c r="Y35" i="6" s="1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I35" i="6"/>
  <c r="J35" i="6"/>
  <c r="K35" i="6"/>
  <c r="S35" i="6"/>
  <c r="I42" i="6"/>
  <c r="J42" i="6"/>
  <c r="D45" i="6"/>
  <c r="D4" i="5"/>
  <c r="E5" i="5"/>
  <c r="E16" i="5" s="1"/>
  <c r="D6" i="5"/>
  <c r="D16" i="5" s="1"/>
  <c r="D22" i="5" s="1"/>
  <c r="E6" i="5"/>
  <c r="E7" i="5"/>
  <c r="G30" i="5"/>
  <c r="G31" i="5"/>
  <c r="G33" i="5"/>
  <c r="C8" i="4"/>
  <c r="D8" i="4"/>
  <c r="E8" i="4"/>
  <c r="F8" i="4"/>
  <c r="G8" i="4"/>
  <c r="H8" i="4"/>
  <c r="I8" i="4"/>
  <c r="J8" i="4"/>
  <c r="D10" i="4"/>
  <c r="D24" i="4" s="1"/>
  <c r="E10" i="4"/>
  <c r="G10" i="4"/>
  <c r="H10" i="4"/>
  <c r="H24" i="4" s="1"/>
  <c r="J10" i="4"/>
  <c r="J24" i="4" s="1"/>
  <c r="N11" i="4"/>
  <c r="I13" i="4" s="1"/>
  <c r="I10" i="4" s="1"/>
  <c r="I24" i="4" s="1"/>
  <c r="C12" i="4"/>
  <c r="F12" i="4"/>
  <c r="N12" i="4"/>
  <c r="F14" i="4" s="1"/>
  <c r="F13" i="4"/>
  <c r="C18" i="4"/>
  <c r="O18" i="4"/>
  <c r="B22" i="4"/>
  <c r="E24" i="4"/>
  <c r="G24" i="4"/>
  <c r="L29" i="4"/>
  <c r="L4" i="3"/>
  <c r="L5" i="3"/>
  <c r="C9" i="3"/>
  <c r="D9" i="3"/>
  <c r="E9" i="3"/>
  <c r="F9" i="3"/>
  <c r="G9" i="3"/>
  <c r="H9" i="3"/>
  <c r="I9" i="3"/>
  <c r="J9" i="3"/>
  <c r="C11" i="3"/>
  <c r="I11" i="3"/>
  <c r="J11" i="3"/>
  <c r="F12" i="3"/>
  <c r="N12" i="3"/>
  <c r="E13" i="3"/>
  <c r="F13" i="3"/>
  <c r="F11" i="3" s="1"/>
  <c r="F25" i="3" s="1"/>
  <c r="G13" i="3"/>
  <c r="G11" i="3" s="1"/>
  <c r="G25" i="3" s="1"/>
  <c r="H13" i="3"/>
  <c r="N13" i="3"/>
  <c r="E14" i="3"/>
  <c r="N14" i="3"/>
  <c r="D13" i="3" s="1"/>
  <c r="D15" i="3"/>
  <c r="E15" i="3"/>
  <c r="H15" i="3"/>
  <c r="D16" i="3"/>
  <c r="E16" i="3"/>
  <c r="D17" i="3"/>
  <c r="D18" i="3"/>
  <c r="E18" i="3"/>
  <c r="B23" i="3"/>
  <c r="C25" i="3" s="1"/>
  <c r="I25" i="3"/>
  <c r="J25" i="3"/>
  <c r="C33" i="3"/>
  <c r="G34" i="3"/>
  <c r="H34" i="3"/>
  <c r="G35" i="3"/>
  <c r="H35" i="3"/>
  <c r="D5" i="2"/>
  <c r="E5" i="2"/>
  <c r="D7" i="2"/>
  <c r="E7" i="2"/>
  <c r="D8" i="2"/>
  <c r="D13" i="2"/>
  <c r="G30" i="2"/>
  <c r="G31" i="2"/>
  <c r="G33" i="2"/>
  <c r="G34" i="2"/>
  <c r="C4" i="1"/>
  <c r="D4" i="1"/>
  <c r="D9" i="1" s="1"/>
  <c r="E4" i="1"/>
  <c r="F4" i="1"/>
  <c r="G4" i="1"/>
  <c r="H4" i="1"/>
  <c r="H9" i="1" s="1"/>
  <c r="H25" i="1" s="1"/>
  <c r="I4" i="1"/>
  <c r="I9" i="1" s="1"/>
  <c r="I25" i="1" s="1"/>
  <c r="J4" i="1"/>
  <c r="K4" i="1"/>
  <c r="B8" i="1"/>
  <c r="C9" i="1"/>
  <c r="C25" i="1" s="1"/>
  <c r="E9" i="1"/>
  <c r="E25" i="1" s="1"/>
  <c r="F9" i="1"/>
  <c r="F25" i="1" s="1"/>
  <c r="G9" i="1"/>
  <c r="G25" i="1" s="1"/>
  <c r="J9" i="1"/>
  <c r="K9" i="1"/>
  <c r="K25" i="1" s="1"/>
  <c r="C11" i="1"/>
  <c r="D11" i="1"/>
  <c r="B11" i="1" s="1"/>
  <c r="B24" i="1" s="1"/>
  <c r="E11" i="1"/>
  <c r="F11" i="1"/>
  <c r="G11" i="1"/>
  <c r="H11" i="1"/>
  <c r="I11" i="1"/>
  <c r="J11" i="1"/>
  <c r="K11" i="1"/>
  <c r="J25" i="1"/>
  <c r="D5" i="13"/>
  <c r="E5" i="13"/>
  <c r="F5" i="13"/>
  <c r="F7" i="13" s="1"/>
  <c r="E7" i="13"/>
  <c r="M7" i="13"/>
  <c r="E8" i="13"/>
  <c r="F8" i="13"/>
  <c r="O8" i="13"/>
  <c r="E9" i="13"/>
  <c r="F9" i="13"/>
  <c r="M9" i="13"/>
  <c r="E13" i="13"/>
  <c r="F13" i="13"/>
  <c r="E14" i="13"/>
  <c r="F14" i="13"/>
  <c r="E16" i="13"/>
  <c r="F16" i="13"/>
  <c r="G31" i="13"/>
  <c r="G32" i="13"/>
  <c r="G34" i="13"/>
  <c r="G35" i="13"/>
  <c r="C9" i="14"/>
  <c r="D9" i="14"/>
  <c r="E9" i="14"/>
  <c r="F9" i="14"/>
  <c r="G9" i="14"/>
  <c r="H9" i="14"/>
  <c r="I9" i="14"/>
  <c r="I25" i="14" s="1"/>
  <c r="J9" i="14"/>
  <c r="I10" i="14"/>
  <c r="H11" i="14"/>
  <c r="I11" i="14"/>
  <c r="J11" i="14"/>
  <c r="F12" i="14"/>
  <c r="E13" i="14" s="1"/>
  <c r="N12" i="14"/>
  <c r="F13" i="14"/>
  <c r="N13" i="14"/>
  <c r="N14" i="14"/>
  <c r="E15" i="14"/>
  <c r="N20" i="14"/>
  <c r="O20" i="14"/>
  <c r="N21" i="14"/>
  <c r="O21" i="14"/>
  <c r="E22" i="14"/>
  <c r="B23" i="14"/>
  <c r="H25" i="14"/>
  <c r="C33" i="14"/>
  <c r="G34" i="14"/>
  <c r="H34" i="14" s="1"/>
  <c r="H35" i="14" s="1"/>
  <c r="G35" i="14"/>
  <c r="D6" i="15"/>
  <c r="D7" i="15" s="1"/>
  <c r="E6" i="15"/>
  <c r="F6" i="15"/>
  <c r="G6" i="15"/>
  <c r="E8" i="15"/>
  <c r="F8" i="15"/>
  <c r="G8" i="15"/>
  <c r="G19" i="15" s="1"/>
  <c r="D10" i="15"/>
  <c r="E14" i="15"/>
  <c r="F14" i="15"/>
  <c r="G14" i="15"/>
  <c r="E15" i="15"/>
  <c r="F15" i="15"/>
  <c r="G15" i="15"/>
  <c r="D16" i="15"/>
  <c r="E16" i="15"/>
  <c r="E19" i="15" s="1"/>
  <c r="H19" i="15" s="1"/>
  <c r="F16" i="15"/>
  <c r="G16" i="15"/>
  <c r="E18" i="15"/>
  <c r="F18" i="15"/>
  <c r="G18" i="15"/>
  <c r="F19" i="15"/>
  <c r="G33" i="15"/>
  <c r="G34" i="15"/>
  <c r="G36" i="15"/>
  <c r="D50" i="15"/>
  <c r="E50" i="15"/>
  <c r="E61" i="15" s="1"/>
  <c r="F50" i="15"/>
  <c r="K50" i="15"/>
  <c r="D51" i="15"/>
  <c r="E51" i="15"/>
  <c r="D52" i="15"/>
  <c r="G84" i="15" s="1"/>
  <c r="E52" i="15"/>
  <c r="F52" i="15"/>
  <c r="K52" i="15"/>
  <c r="K61" i="15" s="1"/>
  <c r="H55" i="15"/>
  <c r="K55" i="15"/>
  <c r="D56" i="15"/>
  <c r="F60" i="15"/>
  <c r="D61" i="15"/>
  <c r="D62" i="15" s="1"/>
  <c r="G63" i="15"/>
  <c r="G61" i="15" s="1"/>
  <c r="I63" i="15"/>
  <c r="K72" i="15"/>
  <c r="G74" i="15"/>
  <c r="H74" i="15"/>
  <c r="H81" i="15" s="1"/>
  <c r="K74" i="15"/>
  <c r="G75" i="15"/>
  <c r="H75" i="15"/>
  <c r="D76" i="15"/>
  <c r="G76" i="15" s="1"/>
  <c r="H76" i="15"/>
  <c r="G78" i="15"/>
  <c r="G81" i="15"/>
  <c r="I81" i="15"/>
  <c r="D5" i="18"/>
  <c r="E5" i="18"/>
  <c r="F5" i="18"/>
  <c r="F6" i="18" s="1"/>
  <c r="D6" i="18"/>
  <c r="D7" i="18" s="1"/>
  <c r="E6" i="18"/>
  <c r="E19" i="18" s="1"/>
  <c r="G6" i="18"/>
  <c r="G8" i="18" s="1"/>
  <c r="G19" i="18" s="1"/>
  <c r="H6" i="18"/>
  <c r="H8" i="18" s="1"/>
  <c r="I6" i="18"/>
  <c r="D10" i="18"/>
  <c r="E14" i="18"/>
  <c r="F14" i="18"/>
  <c r="G14" i="18"/>
  <c r="H14" i="18"/>
  <c r="I14" i="18"/>
  <c r="D16" i="18"/>
  <c r="E16" i="18"/>
  <c r="F16" i="18"/>
  <c r="G16" i="18"/>
  <c r="H16" i="18"/>
  <c r="I16" i="18"/>
  <c r="I19" i="18" s="1"/>
  <c r="E18" i="18"/>
  <c r="F18" i="18"/>
  <c r="G18" i="18"/>
  <c r="H18" i="18"/>
  <c r="I18" i="18"/>
  <c r="F19" i="18"/>
  <c r="H22" i="18"/>
  <c r="I22" i="18" s="1"/>
  <c r="G32" i="18"/>
  <c r="G39" i="18" s="1"/>
  <c r="G33" i="18"/>
  <c r="G34" i="18"/>
  <c r="G36" i="18"/>
  <c r="D50" i="18"/>
  <c r="E50" i="18"/>
  <c r="E61" i="18" s="1"/>
  <c r="F50" i="18"/>
  <c r="K50" i="18"/>
  <c r="K61" i="18" s="1"/>
  <c r="D51" i="18"/>
  <c r="E51" i="18"/>
  <c r="D52" i="18"/>
  <c r="G84" i="18" s="1"/>
  <c r="E52" i="18"/>
  <c r="F52" i="18"/>
  <c r="K52" i="18"/>
  <c r="H55" i="18"/>
  <c r="K55" i="18"/>
  <c r="D56" i="18"/>
  <c r="F60" i="18"/>
  <c r="F61" i="18" s="1"/>
  <c r="F67" i="18" s="1"/>
  <c r="D61" i="18"/>
  <c r="D62" i="18" s="1"/>
  <c r="G63" i="18"/>
  <c r="G61" i="18" s="1"/>
  <c r="I63" i="18"/>
  <c r="K72" i="18"/>
  <c r="G74" i="18"/>
  <c r="H74" i="18"/>
  <c r="K74" i="18"/>
  <c r="G75" i="18"/>
  <c r="H75" i="18"/>
  <c r="D76" i="18"/>
  <c r="G76" i="18" s="1"/>
  <c r="H76" i="18"/>
  <c r="G78" i="18"/>
  <c r="G81" i="18"/>
  <c r="I81" i="18" s="1"/>
  <c r="H81" i="18"/>
  <c r="C9" i="19"/>
  <c r="C10" i="19" s="1"/>
  <c r="D9" i="19"/>
  <c r="E9" i="19"/>
  <c r="F9" i="19"/>
  <c r="G9" i="19"/>
  <c r="G25" i="19" s="1"/>
  <c r="H9" i="19"/>
  <c r="H25" i="19" s="1"/>
  <c r="I9" i="19"/>
  <c r="J9" i="19"/>
  <c r="D11" i="19"/>
  <c r="D25" i="19" s="1"/>
  <c r="E11" i="19"/>
  <c r="E25" i="19" s="1"/>
  <c r="F11" i="19"/>
  <c r="G11" i="19"/>
  <c r="H11" i="19"/>
  <c r="I11" i="19"/>
  <c r="I25" i="19" s="1"/>
  <c r="J11" i="19"/>
  <c r="J25" i="19" s="1"/>
  <c r="F12" i="19"/>
  <c r="N12" i="19"/>
  <c r="C13" i="19"/>
  <c r="C11" i="19" s="1"/>
  <c r="N13" i="19"/>
  <c r="N14" i="19"/>
  <c r="N20" i="19"/>
  <c r="O20" i="19"/>
  <c r="N21" i="19"/>
  <c r="O21" i="19"/>
  <c r="E22" i="19"/>
  <c r="B23" i="19"/>
  <c r="C33" i="19" s="1"/>
  <c r="F25" i="19"/>
  <c r="G34" i="19"/>
  <c r="H34" i="19"/>
  <c r="G35" i="19"/>
  <c r="H35" i="19"/>
  <c r="D5" i="21"/>
  <c r="E5" i="21"/>
  <c r="D7" i="21"/>
  <c r="D8" i="21" s="1"/>
  <c r="E14" i="21"/>
  <c r="D16" i="21"/>
  <c r="E16" i="21"/>
  <c r="F19" i="21"/>
  <c r="G19" i="21"/>
  <c r="H19" i="21"/>
  <c r="I19" i="21"/>
  <c r="G33" i="21"/>
  <c r="G34" i="21"/>
  <c r="G36" i="21"/>
  <c r="C10" i="20"/>
  <c r="D10" i="20"/>
  <c r="E10" i="20"/>
  <c r="F10" i="20"/>
  <c r="G10" i="20"/>
  <c r="H10" i="20"/>
  <c r="I10" i="20"/>
  <c r="C11" i="20"/>
  <c r="I11" i="20"/>
  <c r="E12" i="20"/>
  <c r="F12" i="20"/>
  <c r="G12" i="20"/>
  <c r="H12" i="20"/>
  <c r="I12" i="20"/>
  <c r="J12" i="20"/>
  <c r="E23" i="20"/>
  <c r="C34" i="20"/>
  <c r="G35" i="20"/>
  <c r="H35" i="20"/>
  <c r="G36" i="20"/>
  <c r="H36" i="20"/>
  <c r="F26" i="20" l="1"/>
  <c r="E26" i="20"/>
  <c r="B12" i="20"/>
  <c r="D26" i="20"/>
  <c r="E11" i="14"/>
  <c r="H61" i="18"/>
  <c r="H64" i="18" s="1"/>
  <c r="I64" i="18" s="1"/>
  <c r="E67" i="18"/>
  <c r="E25" i="14"/>
  <c r="D25" i="1"/>
  <c r="B23" i="1"/>
  <c r="H22" i="15"/>
  <c r="I22" i="15" s="1"/>
  <c r="G32" i="15"/>
  <c r="G39" i="15" s="1"/>
  <c r="D24" i="1"/>
  <c r="K26" i="1" s="1"/>
  <c r="C34" i="1"/>
  <c r="C32" i="1" s="1"/>
  <c r="E67" i="15"/>
  <c r="F11" i="14"/>
  <c r="F25" i="14" s="1"/>
  <c r="G26" i="1"/>
  <c r="B11" i="19"/>
  <c r="B24" i="19" s="1"/>
  <c r="C25" i="19"/>
  <c r="K54" i="12"/>
  <c r="H70" i="12"/>
  <c r="K70" i="12" s="1"/>
  <c r="H16" i="5"/>
  <c r="K86" i="8"/>
  <c r="H96" i="8"/>
  <c r="K96" i="8" s="1"/>
  <c r="G13" i="14"/>
  <c r="G11" i="14" s="1"/>
  <c r="G25" i="14" s="1"/>
  <c r="K75" i="18"/>
  <c r="D67" i="18"/>
  <c r="K75" i="15"/>
  <c r="C16" i="14"/>
  <c r="E6" i="2"/>
  <c r="E16" i="2" s="1"/>
  <c r="H19" i="18"/>
  <c r="D67" i="15"/>
  <c r="F15" i="14"/>
  <c r="D6" i="13"/>
  <c r="D17" i="13"/>
  <c r="D6" i="2"/>
  <c r="M35" i="6"/>
  <c r="K25" i="8"/>
  <c r="H27" i="8"/>
  <c r="K27" i="8" s="1"/>
  <c r="H116" i="12"/>
  <c r="K116" i="12" s="1"/>
  <c r="D13" i="14"/>
  <c r="C15" i="14"/>
  <c r="D19" i="15"/>
  <c r="D25" i="15" s="1"/>
  <c r="E14" i="14"/>
  <c r="K6" i="12"/>
  <c r="H18" i="12"/>
  <c r="K18" i="12" s="1"/>
  <c r="H116" i="8"/>
  <c r="K116" i="8" s="1"/>
  <c r="K103" i="8"/>
  <c r="D17" i="14"/>
  <c r="C14" i="14"/>
  <c r="C10" i="14"/>
  <c r="E11" i="3"/>
  <c r="E25" i="3" s="1"/>
  <c r="F10" i="4"/>
  <c r="F24" i="4" s="1"/>
  <c r="B13" i="6"/>
  <c r="C43" i="6" s="1"/>
  <c r="H18" i="8"/>
  <c r="K18" i="8" s="1"/>
  <c r="K5" i="8"/>
  <c r="K98" i="8"/>
  <c r="H101" i="8"/>
  <c r="K101" i="8" s="1"/>
  <c r="E19" i="21"/>
  <c r="E25" i="21" s="1"/>
  <c r="B25" i="19"/>
  <c r="I10" i="19"/>
  <c r="F61" i="15"/>
  <c r="F67" i="15" s="1"/>
  <c r="C17" i="14"/>
  <c r="J25" i="14"/>
  <c r="D19" i="18"/>
  <c r="D25" i="18" s="1"/>
  <c r="D11" i="3"/>
  <c r="H96" i="12"/>
  <c r="K96" i="12" s="1"/>
  <c r="K85" i="12"/>
  <c r="D16" i="14"/>
  <c r="K31" i="12"/>
  <c r="H37" i="12"/>
  <c r="K37" i="12" s="1"/>
  <c r="E17" i="3"/>
  <c r="H14" i="3"/>
  <c r="H11" i="3" s="1"/>
  <c r="H25" i="3" s="1"/>
  <c r="T17" i="6"/>
  <c r="T35" i="6" s="1"/>
  <c r="L17" i="6"/>
  <c r="L35" i="6" s="1"/>
  <c r="U15" i="6"/>
  <c r="K15" i="6"/>
  <c r="Y8" i="6"/>
  <c r="P8" i="6"/>
  <c r="P15" i="6" s="1"/>
  <c r="K29" i="8"/>
  <c r="H37" i="8"/>
  <c r="K37" i="8" s="1"/>
  <c r="I11" i="10"/>
  <c r="G22" i="10"/>
  <c r="E15" i="11"/>
  <c r="B15" i="11" s="1"/>
  <c r="B28" i="11" s="1"/>
  <c r="D28" i="11" s="1"/>
  <c r="J30" i="11" s="1"/>
  <c r="K103" i="12"/>
  <c r="H82" i="12"/>
  <c r="K82" i="12" s="1"/>
  <c r="H132" i="8"/>
  <c r="K132" i="8" s="1"/>
  <c r="E24" i="9"/>
  <c r="G29" i="11"/>
  <c r="K39" i="12"/>
  <c r="H49" i="12"/>
  <c r="K49" i="12" s="1"/>
  <c r="B19" i="6"/>
  <c r="E6" i="7"/>
  <c r="K30" i="7" s="1"/>
  <c r="K20" i="12"/>
  <c r="H27" i="12"/>
  <c r="K27" i="12" s="1"/>
  <c r="B16" i="6"/>
  <c r="B17" i="6" s="1"/>
  <c r="C17" i="6"/>
  <c r="C35" i="6" s="1"/>
  <c r="E15" i="6"/>
  <c r="H70" i="8"/>
  <c r="K70" i="8" s="1"/>
  <c r="C17" i="4"/>
  <c r="C10" i="4" s="1"/>
  <c r="W17" i="6"/>
  <c r="W35" i="6" s="1"/>
  <c r="N15" i="6"/>
  <c r="D15" i="6"/>
  <c r="B12" i="6"/>
  <c r="R35" i="6" s="1"/>
  <c r="H140" i="8"/>
  <c r="K140" i="8" s="1"/>
  <c r="B10" i="9"/>
  <c r="B23" i="9" s="1"/>
  <c r="C11" i="10"/>
  <c r="C21" i="10" s="1"/>
  <c r="C12" i="10"/>
  <c r="C22" i="10" s="1"/>
  <c r="H140" i="12"/>
  <c r="K140" i="12" s="1"/>
  <c r="K135" i="12"/>
  <c r="C32" i="4"/>
  <c r="V17" i="6"/>
  <c r="V35" i="6" s="1"/>
  <c r="M15" i="6"/>
  <c r="C15" i="6"/>
  <c r="K73" i="8"/>
  <c r="H82" i="8"/>
  <c r="K82" i="8" s="1"/>
  <c r="D13" i="10"/>
  <c r="D23" i="10" s="1"/>
  <c r="Y15" i="6"/>
  <c r="Q15" i="6"/>
  <c r="G39" i="7"/>
  <c r="K118" i="8"/>
  <c r="H49" i="8"/>
  <c r="K49" i="8" s="1"/>
  <c r="I12" i="10"/>
  <c r="I22" i="10" s="1"/>
  <c r="H9" i="10"/>
  <c r="H13" i="10" s="1"/>
  <c r="H23" i="10" s="1"/>
  <c r="H12" i="10"/>
  <c r="H22" i="10" s="1"/>
  <c r="G9" i="10"/>
  <c r="J15" i="6"/>
  <c r="D19" i="21"/>
  <c r="J19" i="21" s="1"/>
  <c r="F25" i="21" s="1"/>
  <c r="B25" i="20" l="1"/>
  <c r="B26" i="20" s="1"/>
  <c r="D25" i="20"/>
  <c r="B10" i="4"/>
  <c r="B23" i="4" s="1"/>
  <c r="C24" i="4"/>
  <c r="C25" i="4" s="1"/>
  <c r="B34" i="6"/>
  <c r="E44" i="6"/>
  <c r="C30" i="11"/>
  <c r="C31" i="11" s="1"/>
  <c r="C33" i="9"/>
  <c r="C31" i="9" s="1"/>
  <c r="D23" i="9"/>
  <c r="B24" i="9"/>
  <c r="B33" i="6"/>
  <c r="E43" i="6"/>
  <c r="H30" i="11"/>
  <c r="H19" i="5"/>
  <c r="I19" i="5" s="1"/>
  <c r="G29" i="5"/>
  <c r="G36" i="5" s="1"/>
  <c r="H26" i="1"/>
  <c r="I26" i="1"/>
  <c r="I27" i="1" s="1"/>
  <c r="C11" i="14"/>
  <c r="M30" i="11"/>
  <c r="B27" i="1"/>
  <c r="C26" i="1"/>
  <c r="E24" i="1"/>
  <c r="C33" i="1"/>
  <c r="B25" i="1"/>
  <c r="E16" i="7"/>
  <c r="B29" i="11"/>
  <c r="D30" i="11"/>
  <c r="G30" i="11"/>
  <c r="F26" i="1"/>
  <c r="H61" i="15"/>
  <c r="H64" i="15" s="1"/>
  <c r="I64" i="15" s="1"/>
  <c r="D26" i="1"/>
  <c r="E26" i="1"/>
  <c r="D23" i="13"/>
  <c r="H17" i="13"/>
  <c r="E24" i="19"/>
  <c r="D24" i="19"/>
  <c r="C26" i="19" s="1"/>
  <c r="C34" i="19"/>
  <c r="J26" i="1"/>
  <c r="E28" i="11"/>
  <c r="B31" i="11"/>
  <c r="I30" i="11"/>
  <c r="G27" i="1"/>
  <c r="D25" i="3"/>
  <c r="B11" i="3"/>
  <c r="B24" i="3" s="1"/>
  <c r="K30" i="11"/>
  <c r="J33" i="11" s="1"/>
  <c r="D11" i="14"/>
  <c r="D25" i="14" s="1"/>
  <c r="L30" i="11"/>
  <c r="D16" i="2"/>
  <c r="D22" i="2" s="1"/>
  <c r="E29" i="11"/>
  <c r="E30" i="11" s="1"/>
  <c r="F30" i="11"/>
  <c r="D10" i="2"/>
  <c r="H22" i="21"/>
  <c r="I22" i="21" s="1"/>
  <c r="G32" i="21"/>
  <c r="G39" i="21" s="1"/>
  <c r="D25" i="21"/>
  <c r="C35" i="20" l="1"/>
  <c r="B28" i="20"/>
  <c r="L27" i="20"/>
  <c r="S27" i="20"/>
  <c r="K27" i="20"/>
  <c r="R27" i="20"/>
  <c r="J27" i="20"/>
  <c r="Q27" i="20"/>
  <c r="P27" i="20"/>
  <c r="I27" i="20"/>
  <c r="O27" i="20"/>
  <c r="N27" i="20"/>
  <c r="M27" i="20"/>
  <c r="F27" i="20"/>
  <c r="E27" i="20"/>
  <c r="C27" i="20"/>
  <c r="C33" i="20"/>
  <c r="G27" i="20"/>
  <c r="D27" i="20"/>
  <c r="H27" i="20"/>
  <c r="E24" i="3"/>
  <c r="B25" i="3"/>
  <c r="D24" i="3"/>
  <c r="C34" i="3"/>
  <c r="H20" i="13"/>
  <c r="I20" i="13" s="1"/>
  <c r="G30" i="13"/>
  <c r="G37" i="13" s="1"/>
  <c r="H16" i="2"/>
  <c r="H16" i="7"/>
  <c r="E22" i="7"/>
  <c r="B11" i="14"/>
  <c r="B24" i="14" s="1"/>
  <c r="C25" i="14"/>
  <c r="F34" i="6"/>
  <c r="F36" i="6" s="1"/>
  <c r="N34" i="6"/>
  <c r="N36" i="6" s="1"/>
  <c r="V34" i="6"/>
  <c r="V36" i="6" s="1"/>
  <c r="V37" i="6" s="1"/>
  <c r="G34" i="6"/>
  <c r="G36" i="6" s="1"/>
  <c r="O34" i="6"/>
  <c r="O36" i="6" s="1"/>
  <c r="O37" i="6" s="1"/>
  <c r="W34" i="6"/>
  <c r="W36" i="6" s="1"/>
  <c r="H34" i="6"/>
  <c r="H36" i="6" s="1"/>
  <c r="P34" i="6"/>
  <c r="P36" i="6" s="1"/>
  <c r="X34" i="6"/>
  <c r="X36" i="6" s="1"/>
  <c r="X37" i="6" s="1"/>
  <c r="I34" i="6"/>
  <c r="I36" i="6" s="1"/>
  <c r="Q34" i="6"/>
  <c r="Q36" i="6" s="1"/>
  <c r="Y34" i="6"/>
  <c r="Y36" i="6" s="1"/>
  <c r="Y37" i="6" s="1"/>
  <c r="J34" i="6"/>
  <c r="J36" i="6" s="1"/>
  <c r="J37" i="6" s="1"/>
  <c r="R34" i="6"/>
  <c r="R36" i="6" s="1"/>
  <c r="R37" i="6" s="1"/>
  <c r="C34" i="6"/>
  <c r="C36" i="6" s="1"/>
  <c r="K34" i="6"/>
  <c r="S34" i="6"/>
  <c r="S36" i="6" s="1"/>
  <c r="S37" i="6" s="1"/>
  <c r="D34" i="6"/>
  <c r="D36" i="6" s="1"/>
  <c r="L34" i="6"/>
  <c r="L36" i="6" s="1"/>
  <c r="T34" i="6"/>
  <c r="T36" i="6" s="1"/>
  <c r="E34" i="6"/>
  <c r="E36" i="6" s="1"/>
  <c r="M34" i="6"/>
  <c r="M36" i="6" s="1"/>
  <c r="U34" i="6"/>
  <c r="U36" i="6" s="1"/>
  <c r="E31" i="11"/>
  <c r="E33" i="11" s="1"/>
  <c r="D26" i="3"/>
  <c r="B27" i="19"/>
  <c r="C32" i="19"/>
  <c r="E26" i="19"/>
  <c r="E27" i="19" s="1"/>
  <c r="D26" i="19"/>
  <c r="C27" i="19" s="1"/>
  <c r="F26" i="19"/>
  <c r="H26" i="19"/>
  <c r="G26" i="19"/>
  <c r="G27" i="19" s="1"/>
  <c r="E27" i="1"/>
  <c r="B35" i="6"/>
  <c r="C33" i="4"/>
  <c r="C31" i="4" s="1"/>
  <c r="D23" i="4"/>
  <c r="B24" i="4"/>
  <c r="C27" i="1"/>
  <c r="B26" i="9"/>
  <c r="E23" i="9"/>
  <c r="H25" i="9"/>
  <c r="G25" i="9"/>
  <c r="D25" i="9"/>
  <c r="F25" i="9"/>
  <c r="C25" i="9"/>
  <c r="E25" i="9"/>
  <c r="E26" i="9" s="1"/>
  <c r="E28" i="9" s="1"/>
  <c r="J26" i="19"/>
  <c r="I26" i="19"/>
  <c r="I27" i="19" s="1"/>
  <c r="I28" i="20" l="1"/>
  <c r="E28" i="20"/>
  <c r="G28" i="20"/>
  <c r="C28" i="20"/>
  <c r="T37" i="6"/>
  <c r="G37" i="6"/>
  <c r="H19" i="2"/>
  <c r="I19" i="2" s="1"/>
  <c r="G29" i="2"/>
  <c r="G36" i="2" s="1"/>
  <c r="E42" i="6"/>
  <c r="K36" i="6"/>
  <c r="B27" i="3"/>
  <c r="C32" i="3"/>
  <c r="F26" i="3"/>
  <c r="G26" i="3"/>
  <c r="C26" i="3"/>
  <c r="C27" i="3" s="1"/>
  <c r="H26" i="3"/>
  <c r="E26" i="3"/>
  <c r="E27" i="3" s="1"/>
  <c r="C34" i="14"/>
  <c r="D24" i="14"/>
  <c r="E24" i="14"/>
  <c r="B25" i="14"/>
  <c r="P37" i="6"/>
  <c r="C26" i="9"/>
  <c r="M37" i="6"/>
  <c r="I26" i="3"/>
  <c r="I27" i="3" s="1"/>
  <c r="J26" i="3"/>
  <c r="B36" i="6"/>
  <c r="C37" i="6"/>
  <c r="E23" i="4"/>
  <c r="B26" i="4"/>
  <c r="E25" i="4"/>
  <c r="E26" i="4" s="1"/>
  <c r="G25" i="4"/>
  <c r="D25" i="4"/>
  <c r="C26" i="4" s="1"/>
  <c r="J25" i="4"/>
  <c r="H25" i="4"/>
  <c r="I25" i="4"/>
  <c r="F25" i="4"/>
  <c r="G29" i="7"/>
  <c r="G36" i="7" s="1"/>
  <c r="H29" i="7"/>
  <c r="H36" i="7" s="1"/>
  <c r="H19" i="7"/>
  <c r="I19" i="7" s="1"/>
  <c r="I26" i="14" l="1"/>
  <c r="J26" i="14"/>
  <c r="K37" i="6"/>
  <c r="B37" i="6" s="1"/>
  <c r="E45" i="6"/>
  <c r="B27" i="14"/>
  <c r="C32" i="14"/>
  <c r="H26" i="14"/>
  <c r="E26" i="14"/>
  <c r="E27" i="14" s="1"/>
  <c r="F26" i="14"/>
  <c r="G26" i="14"/>
  <c r="D26" i="14"/>
  <c r="G26" i="4"/>
  <c r="I36" i="7"/>
  <c r="G27" i="3"/>
  <c r="C26" i="14"/>
  <c r="C27" i="14" s="1"/>
  <c r="I26" i="4"/>
  <c r="G27" i="14" l="1"/>
  <c r="I27" i="14"/>
</calcChain>
</file>

<file path=xl/sharedStrings.xml><?xml version="1.0" encoding="utf-8"?>
<sst xmlns="http://schemas.openxmlformats.org/spreadsheetml/2006/main" count="1609" uniqueCount="616">
  <si>
    <t>ACCOUNTING FOR Saint Lucia</t>
  </si>
  <si>
    <t>Paid in</t>
  </si>
  <si>
    <t>Joe</t>
  </si>
  <si>
    <t>Dorian</t>
  </si>
  <si>
    <t>Dan</t>
  </si>
  <si>
    <t>Diane</t>
  </si>
  <si>
    <t>Tony</t>
  </si>
  <si>
    <t>Lynette</t>
  </si>
  <si>
    <t>Vicki</t>
  </si>
  <si>
    <t>Arielle</t>
  </si>
  <si>
    <t>Peter</t>
  </si>
  <si>
    <t>check #</t>
  </si>
  <si>
    <t>hold</t>
  </si>
  <si>
    <t>balance</t>
  </si>
  <si>
    <t>kidratiio</t>
  </si>
  <si>
    <t>base estimate</t>
  </si>
  <si>
    <t>total Equiv adults</t>
  </si>
  <si>
    <t>Total Credits</t>
  </si>
  <si>
    <t>Total Expenses</t>
  </si>
  <si>
    <t xml:space="preserve">   from below</t>
  </si>
  <si>
    <t>boat costs</t>
  </si>
  <si>
    <t>exch rate:</t>
  </si>
  <si>
    <t xml:space="preserve"> $ per Euro</t>
  </si>
  <si>
    <t>Itemization</t>
  </si>
  <si>
    <t>end of debits</t>
  </si>
  <si>
    <t>------------------------------------------------------------------------------------------------------------------------------------------</t>
  </si>
  <si>
    <t>Total budget</t>
  </si>
  <si>
    <t>so far</t>
  </si>
  <si>
    <t>refund</t>
  </si>
  <si>
    <t>Total Expense</t>
  </si>
  <si>
    <t>Cred-Exp</t>
  </si>
  <si>
    <t>Makeup</t>
  </si>
  <si>
    <t>per crew member</t>
  </si>
  <si>
    <t xml:space="preserve">  Avg</t>
  </si>
  <si>
    <t>per couple</t>
  </si>
  <si>
    <t>Final cost per crew member:</t>
  </si>
  <si>
    <t>Total budget of trip:</t>
  </si>
  <si>
    <t>Actual expenses of trip:</t>
  </si>
  <si>
    <t>Other Comments:</t>
  </si>
  <si>
    <t>whoops</t>
  </si>
  <si>
    <t>43Cat</t>
  </si>
  <si>
    <t>403Sloop</t>
  </si>
  <si>
    <t>daily cost</t>
  </si>
  <si>
    <t>Charter Fee</t>
  </si>
  <si>
    <t xml:space="preserve">  - discount</t>
  </si>
  <si>
    <t>preboard cost</t>
  </si>
  <si>
    <t>Damage Waiver</t>
  </si>
  <si>
    <t xml:space="preserve">Prepaid Fuel </t>
  </si>
  <si>
    <t>Cruising Tax</t>
  </si>
  <si>
    <t>Rebate from trip</t>
  </si>
  <si>
    <t>Trip insurance</t>
  </si>
  <si>
    <t>Kayak</t>
  </si>
  <si>
    <t>Cruising Guide</t>
  </si>
  <si>
    <t>incl</t>
  </si>
  <si>
    <t>Goods/Serv Tax</t>
  </si>
  <si>
    <t>TOTALS</t>
  </si>
  <si>
    <t>boat totals</t>
  </si>
  <si>
    <t>per night per person cost --------&gt;</t>
  </si>
  <si>
    <t>double occupancy</t>
  </si>
  <si>
    <t>for giggles, no flotilla</t>
  </si>
  <si>
    <t>crew</t>
  </si>
  <si>
    <t>per crew</t>
  </si>
  <si>
    <t>Crew Count</t>
  </si>
  <si>
    <t>Children</t>
  </si>
  <si>
    <t>Full days on board</t>
  </si>
  <si>
    <t>adult</t>
  </si>
  <si>
    <t>boat share costs</t>
  </si>
  <si>
    <t>split provisioning</t>
  </si>
  <si>
    <t>per day</t>
  </si>
  <si>
    <t>tax</t>
  </si>
  <si>
    <t>Beverages</t>
  </si>
  <si>
    <t>on trip</t>
  </si>
  <si>
    <t>Buffer</t>
  </si>
  <si>
    <t>Trip Prepay Cost</t>
  </si>
  <si>
    <t>ACCOUNTING FOR Croatia - Dubrovnik base in the Adriatic Sea</t>
  </si>
  <si>
    <t>Jeff</t>
  </si>
  <si>
    <t>Meesh</t>
  </si>
  <si>
    <t>Larry</t>
  </si>
  <si>
    <t>Therese</t>
  </si>
  <si>
    <t>Exchange rates (through banks)</t>
  </si>
  <si>
    <t>Euro</t>
  </si>
  <si>
    <t>ECD</t>
  </si>
  <si>
    <t xml:space="preserve">kronas </t>
  </si>
  <si>
    <t xml:space="preserve">.. </t>
  </si>
  <si>
    <t>kid</t>
  </si>
  <si>
    <t xml:space="preserve"> per crew</t>
  </si>
  <si>
    <t>DepAndExp</t>
  </si>
  <si>
    <t>plus 200 overpay (1200 vs. 1100)</t>
  </si>
  <si>
    <t>St Lucia 2007</t>
  </si>
  <si>
    <t>Adult</t>
  </si>
  <si>
    <t>Kid</t>
  </si>
  <si>
    <t>Estimates</t>
  </si>
  <si>
    <t>Boat/ins</t>
  </si>
  <si>
    <t>Booze/bev</t>
  </si>
  <si>
    <t>Food</t>
  </si>
  <si>
    <t xml:space="preserve"> SUM</t>
  </si>
  <si>
    <t>Andy</t>
  </si>
  <si>
    <t>Stacey</t>
  </si>
  <si>
    <t>joe owes Meech 50 Eu or</t>
  </si>
  <si>
    <t>40Cat</t>
  </si>
  <si>
    <t>ACCOUNTING FOR Belize</t>
  </si>
  <si>
    <t>CREDITS</t>
  </si>
  <si>
    <t>Lynne</t>
  </si>
  <si>
    <t>Amanda</t>
  </si>
  <si>
    <t>Katrina</t>
  </si>
  <si>
    <t>Hugh</t>
  </si>
  <si>
    <t>Becky</t>
  </si>
  <si>
    <t>Corky</t>
  </si>
  <si>
    <t>Meech</t>
  </si>
  <si>
    <t>Michael</t>
  </si>
  <si>
    <t>Melissa</t>
  </si>
  <si>
    <t>Valentin</t>
  </si>
  <si>
    <t>Pam</t>
  </si>
  <si>
    <t>Don</t>
  </si>
  <si>
    <t>A</t>
  </si>
  <si>
    <t>#2506</t>
  </si>
  <si>
    <t>#8648</t>
  </si>
  <si>
    <t>B</t>
  </si>
  <si>
    <t>C</t>
  </si>
  <si>
    <t>to Hugh</t>
  </si>
  <si>
    <t>to Joe</t>
  </si>
  <si>
    <t>to Dan</t>
  </si>
  <si>
    <t>all credits</t>
  </si>
  <si>
    <t>Balance due</t>
  </si>
  <si>
    <t>Total Payments</t>
  </si>
  <si>
    <t>w/o Insurance</t>
  </si>
  <si>
    <t>EXPENSES</t>
  </si>
  <si>
    <t>-----------------------------------------------------------------------------------------------------------</t>
  </si>
  <si>
    <t>SQUARING UP (net insure)</t>
  </si>
  <si>
    <t>Proportioned Expense</t>
  </si>
  <si>
    <t>Squareup</t>
  </si>
  <si>
    <t xml:space="preserve"> per group</t>
  </si>
  <si>
    <t>Tahiti</t>
  </si>
  <si>
    <t>Belize adult (nominal)</t>
  </si>
  <si>
    <t>beverages</t>
  </si>
  <si>
    <t>for trip</t>
  </si>
  <si>
    <t>per adult</t>
  </si>
  <si>
    <t>Nominal refund per crew:</t>
  </si>
  <si>
    <t>Hugh's update</t>
  </si>
  <si>
    <t>40Sloop</t>
  </si>
  <si>
    <t>42Cat</t>
  </si>
  <si>
    <t>45 Cat</t>
  </si>
  <si>
    <t>(included)</t>
  </si>
  <si>
    <t>actual sloop cost</t>
  </si>
  <si>
    <t>calculated separately</t>
  </si>
  <si>
    <t>discnt recoup</t>
  </si>
  <si>
    <t>w/ disc</t>
  </si>
  <si>
    <t>Gregg's and Corky discount payback</t>
  </si>
  <si>
    <t xml:space="preserve"> or per person</t>
  </si>
  <si>
    <t>&lt;-- if boat costs were not split and no discounts</t>
  </si>
  <si>
    <t>child</t>
  </si>
  <si>
    <t>full provisioning</t>
  </si>
  <si>
    <t>hotels</t>
  </si>
  <si>
    <t>preboard night per person</t>
  </si>
  <si>
    <t>airfares</t>
  </si>
  <si>
    <t>souvenirs</t>
  </si>
  <si>
    <t>MED SAIL : Jul 3 to 10, 2004</t>
  </si>
  <si>
    <t>conversion rate to $</t>
  </si>
  <si>
    <t>Boat 1</t>
  </si>
  <si>
    <t>Boat 2</t>
  </si>
  <si>
    <t>Euro to $</t>
  </si>
  <si>
    <t>SIZE</t>
  </si>
  <si>
    <t>PRICE</t>
  </si>
  <si>
    <t>QTY</t>
  </si>
  <si>
    <t xml:space="preserve">TOTAL </t>
  </si>
  <si>
    <t>Est Price</t>
  </si>
  <si>
    <t>Est. Total</t>
  </si>
  <si>
    <t>Soft drink</t>
  </si>
  <si>
    <t>CFP</t>
  </si>
  <si>
    <t>dollars</t>
  </si>
  <si>
    <t>Flat water</t>
  </si>
  <si>
    <t>1.5 l</t>
  </si>
  <si>
    <t>Sparkling Water</t>
  </si>
  <si>
    <t>1 l</t>
  </si>
  <si>
    <t>Pineapple juice</t>
  </si>
  <si>
    <t>Orange juice</t>
  </si>
  <si>
    <t>Fruit punch</t>
  </si>
  <si>
    <t>Coke</t>
  </si>
  <si>
    <t>33 cl</t>
  </si>
  <si>
    <t>Lemon Schweppes</t>
  </si>
  <si>
    <t>Shweppes Tonic</t>
  </si>
  <si>
    <t>Orangina</t>
  </si>
  <si>
    <t>Oragnia</t>
  </si>
  <si>
    <t>Sprite</t>
  </si>
  <si>
    <t>Alcoholic drinks</t>
  </si>
  <si>
    <t>Beer</t>
  </si>
  <si>
    <t>Lamauny rum</t>
  </si>
  <si>
    <t>Whisky J&amp;B</t>
  </si>
  <si>
    <t>Pastis 51</t>
  </si>
  <si>
    <t>Red wine J.P. Chenet</t>
  </si>
  <si>
    <t>75 cl</t>
  </si>
  <si>
    <t>Rose wine J.P. Chenet</t>
  </si>
  <si>
    <t>White wine J.P. Chenet</t>
  </si>
  <si>
    <t>Cookies and Crackers</t>
  </si>
  <si>
    <t>Butter cookies</t>
  </si>
  <si>
    <t>125 g</t>
  </si>
  <si>
    <t>Arnott's delta cream</t>
  </si>
  <si>
    <t>250 g</t>
  </si>
  <si>
    <t>Crackers</t>
  </si>
  <si>
    <t>milk chocolate</t>
  </si>
  <si>
    <t>100 g</t>
  </si>
  <si>
    <t>Dark chocolate</t>
  </si>
  <si>
    <t>200 g</t>
  </si>
  <si>
    <t>Dry roasted peanuts</t>
  </si>
  <si>
    <t>340 g</t>
  </si>
  <si>
    <t>Potato chips</t>
  </si>
  <si>
    <t>Black olives</t>
  </si>
  <si>
    <t>400 g</t>
  </si>
  <si>
    <t>Condiments</t>
  </si>
  <si>
    <t>Salt</t>
  </si>
  <si>
    <t>300 g</t>
  </si>
  <si>
    <t>Pepper</t>
  </si>
  <si>
    <t>48 g</t>
  </si>
  <si>
    <t>Gherkins</t>
  </si>
  <si>
    <t>ketchup</t>
  </si>
  <si>
    <t xml:space="preserve"> 400 g</t>
  </si>
  <si>
    <t>Mayonnaise</t>
  </si>
  <si>
    <t>237 ml</t>
  </si>
  <si>
    <t>Sunflower oil</t>
  </si>
  <si>
    <t>Olive oil</t>
  </si>
  <si>
    <t>500 ml</t>
  </si>
  <si>
    <t>Vinegar</t>
  </si>
  <si>
    <t>250 ml</t>
  </si>
  <si>
    <t>Mustard</t>
  </si>
  <si>
    <t>Mixed herbs</t>
  </si>
  <si>
    <t>20 g</t>
  </si>
  <si>
    <t>Grocery</t>
  </si>
  <si>
    <t>Kellogs corn flakes</t>
  </si>
  <si>
    <t>375g</t>
  </si>
  <si>
    <t>Cocoa Krispies</t>
  </si>
  <si>
    <t xml:space="preserve">375g </t>
  </si>
  <si>
    <t>Kellos Muesli</t>
  </si>
  <si>
    <t>750g</t>
  </si>
  <si>
    <t>Apricot jam</t>
  </si>
  <si>
    <t>370g</t>
  </si>
  <si>
    <t>Strawberry jam</t>
  </si>
  <si>
    <t>Tahiti honey</t>
  </si>
  <si>
    <t>400g</t>
  </si>
  <si>
    <t>Papaya/Pineapple jam</t>
  </si>
  <si>
    <t>500g</t>
  </si>
  <si>
    <t>Mango/Pineapple jam</t>
  </si>
  <si>
    <t>Sugar</t>
  </si>
  <si>
    <t>1kg</t>
  </si>
  <si>
    <t>local coffee</t>
  </si>
  <si>
    <t>coffee filters</t>
  </si>
  <si>
    <t>40 u</t>
  </si>
  <si>
    <t>Nescafe</t>
  </si>
  <si>
    <t>200g</t>
  </si>
  <si>
    <t>lipton yellow Tea</t>
  </si>
  <si>
    <t>25u</t>
  </si>
  <si>
    <t>Coca</t>
  </si>
  <si>
    <t>450g</t>
  </si>
  <si>
    <t>French bread</t>
  </si>
  <si>
    <t>1u</t>
  </si>
  <si>
    <t>sliced bread</t>
  </si>
  <si>
    <t>1 pack</t>
  </si>
  <si>
    <t>spaghetti</t>
  </si>
  <si>
    <t>rice</t>
  </si>
  <si>
    <t>seminolina couscous</t>
  </si>
  <si>
    <t>Dairy</t>
  </si>
  <si>
    <t>salted butter</t>
  </si>
  <si>
    <t>250g</t>
  </si>
  <si>
    <t>butter</t>
  </si>
  <si>
    <t>peanut butter</t>
  </si>
  <si>
    <t>340g</t>
  </si>
  <si>
    <t>eggs</t>
  </si>
  <si>
    <t>12u</t>
  </si>
  <si>
    <t>bombel cheese</t>
  </si>
  <si>
    <t>camembert</t>
  </si>
  <si>
    <t>gruyere</t>
  </si>
  <si>
    <t>grated gruere</t>
  </si>
  <si>
    <t>70g</t>
  </si>
  <si>
    <t xml:space="preserve">milk </t>
  </si>
  <si>
    <t>1l</t>
  </si>
  <si>
    <t>liquid cream</t>
  </si>
  <si>
    <t>200ml</t>
  </si>
  <si>
    <t>Canned Food</t>
  </si>
  <si>
    <t>mushrooms</t>
  </si>
  <si>
    <t>dessert cream</t>
  </si>
  <si>
    <t>green beans</t>
  </si>
  <si>
    <t>macaroni</t>
  </si>
  <si>
    <t>corn</t>
  </si>
  <si>
    <t>430g</t>
  </si>
  <si>
    <t>peas</t>
  </si>
  <si>
    <t>potato puree</t>
  </si>
  <si>
    <t>sardines in oil</t>
  </si>
  <si>
    <t>105g</t>
  </si>
  <si>
    <t>tomato sauce</t>
  </si>
  <si>
    <t>227g</t>
  </si>
  <si>
    <t>tuna fish</t>
  </si>
  <si>
    <t>175g</t>
  </si>
  <si>
    <t>peeled tomato</t>
  </si>
  <si>
    <t>spaghetti sauce</t>
  </si>
  <si>
    <t>Delicatessen</t>
  </si>
  <si>
    <t>Henaff pork paste</t>
  </si>
  <si>
    <t>156g</t>
  </si>
  <si>
    <t>liver pate</t>
  </si>
  <si>
    <t>bacon</t>
  </si>
  <si>
    <t>Fruits Vegetables</t>
  </si>
  <si>
    <t>garlic</t>
  </si>
  <si>
    <t>0.5kg</t>
  </si>
  <si>
    <t>pineapple</t>
  </si>
  <si>
    <t>avocado</t>
  </si>
  <si>
    <t>banans</t>
  </si>
  <si>
    <t>carrots</t>
  </si>
  <si>
    <t>limes</t>
  </si>
  <si>
    <t>cucumbers</t>
  </si>
  <si>
    <t>coconut</t>
  </si>
  <si>
    <t>onions</t>
  </si>
  <si>
    <t>papaya</t>
  </si>
  <si>
    <t>grapefruit</t>
  </si>
  <si>
    <t>potatoes</t>
  </si>
  <si>
    <t>tomatoes</t>
  </si>
  <si>
    <t>Housekeeping</t>
  </si>
  <si>
    <t>toilet paper</t>
  </si>
  <si>
    <t>4u</t>
  </si>
  <si>
    <t>paper napkins</t>
  </si>
  <si>
    <t>100u</t>
  </si>
  <si>
    <t>paper towels</t>
  </si>
  <si>
    <t>2u</t>
  </si>
  <si>
    <t>garbage bags 100 l</t>
  </si>
  <si>
    <t>10u</t>
  </si>
  <si>
    <t>aluminum foil 10 m</t>
  </si>
  <si>
    <t>matches box</t>
  </si>
  <si>
    <t>1b</t>
  </si>
  <si>
    <t>dishwashing liquid</t>
  </si>
  <si>
    <t>750ml</t>
  </si>
  <si>
    <t>insect repellant</t>
  </si>
  <si>
    <t>150ml</t>
  </si>
  <si>
    <t>charcoal</t>
  </si>
  <si>
    <t>5kg</t>
  </si>
  <si>
    <t>lighter</t>
  </si>
  <si>
    <t>dish sponges</t>
  </si>
  <si>
    <t>washing power</t>
  </si>
  <si>
    <t>scouring cream</t>
  </si>
  <si>
    <t>500ml</t>
  </si>
  <si>
    <t>coconut soap</t>
  </si>
  <si>
    <t>Meat and Fish</t>
  </si>
  <si>
    <t>frozen chicken thighs</t>
  </si>
  <si>
    <t>frozen sirloin steak</t>
  </si>
  <si>
    <t>fresh tuna fish</t>
  </si>
  <si>
    <t>frozen hamburgers</t>
  </si>
  <si>
    <t>frozen pork chops</t>
  </si>
  <si>
    <t>frozen lamp chops</t>
  </si>
  <si>
    <t>ACCOUNTING FOR Corsica</t>
  </si>
  <si>
    <t>Jeff D</t>
  </si>
  <si>
    <t>Jeff M</t>
  </si>
  <si>
    <t xml:space="preserve">   per crew</t>
  </si>
  <si>
    <t>cell phone</t>
  </si>
  <si>
    <t>CORSICA 2004</t>
  </si>
  <si>
    <t>Modified for Corsica</t>
  </si>
  <si>
    <t>SUNSAIL</t>
  </si>
  <si>
    <t>Moorings</t>
  </si>
  <si>
    <t>37 foot</t>
  </si>
  <si>
    <t>43 ft</t>
  </si>
  <si>
    <t>38 ft</t>
  </si>
  <si>
    <t>46 ft</t>
  </si>
  <si>
    <t>41 ft</t>
  </si>
  <si>
    <t>fuel</t>
  </si>
  <si>
    <t>perday</t>
  </si>
  <si>
    <t>privisoning guess</t>
  </si>
  <si>
    <t>security</t>
  </si>
  <si>
    <t>Per day cost</t>
  </si>
  <si>
    <t>Must spend Friday night in marina</t>
  </si>
  <si>
    <t>3 dinners</t>
  </si>
  <si>
    <t>ACCOUNTING FOR Tahiti</t>
  </si>
  <si>
    <t>Roger</t>
  </si>
  <si>
    <t>Jan</t>
  </si>
  <si>
    <t>Michelle</t>
  </si>
  <si>
    <t>Carl</t>
  </si>
  <si>
    <t xml:space="preserve">??? </t>
  </si>
  <si>
    <t>boat 1 down</t>
  </si>
  <si>
    <t>boat 2</t>
  </si>
  <si>
    <t>boat 1</t>
  </si>
  <si>
    <t xml:space="preserve">Add 9000 </t>
  </si>
  <si>
    <t>xx</t>
  </si>
  <si>
    <t>TAHITI 2002</t>
  </si>
  <si>
    <t>TAHITI SAIL : Sept 7 to 14, 2002</t>
  </si>
  <si>
    <t>CFP to $</t>
  </si>
  <si>
    <t>Eruo is</t>
  </si>
  <si>
    <t>46 sloop</t>
  </si>
  <si>
    <t>daily</t>
  </si>
  <si>
    <t>CYS</t>
  </si>
  <si>
    <t xml:space="preserve">Thai Bat is </t>
  </si>
  <si>
    <t>YachtPro</t>
  </si>
  <si>
    <t>phuketsail</t>
  </si>
  <si>
    <t>crewed</t>
  </si>
  <si>
    <t>sunsail</t>
  </si>
  <si>
    <t>43DS sloop</t>
  </si>
  <si>
    <t>?</t>
  </si>
  <si>
    <t>41 cat</t>
  </si>
  <si>
    <t>KIND</t>
  </si>
  <si>
    <t>SLEEPS</t>
  </si>
  <si>
    <t>6 TO 8</t>
  </si>
  <si>
    <t>Outfit</t>
  </si>
  <si>
    <t>sunsail prime season</t>
  </si>
  <si>
    <t>for DS in April with 4 others</t>
  </si>
  <si>
    <t>for DS in Feb with 4 others</t>
  </si>
  <si>
    <t>for cat in April with 6 others</t>
  </si>
  <si>
    <t>for cat in Feb with 6 others</t>
  </si>
  <si>
    <t>for cat in April with 4 others</t>
  </si>
  <si>
    <t>4600Cat</t>
  </si>
  <si>
    <t>384/4/2 premier</t>
  </si>
  <si>
    <t xml:space="preserve"> - early rsv discount</t>
  </si>
  <si>
    <t xml:space="preserve"> - repeat discount</t>
  </si>
  <si>
    <t>online site selection</t>
  </si>
  <si>
    <t>with Jeff</t>
  </si>
  <si>
    <t>wihout Jeff</t>
  </si>
  <si>
    <t>ACCOUNTING FOR Phuket Thailand</t>
  </si>
  <si>
    <t xml:space="preserve"> $ per Baht</t>
  </si>
  <si>
    <t>baht</t>
  </si>
  <si>
    <t>budg ratio</t>
  </si>
  <si>
    <t>drinks:</t>
  </si>
  <si>
    <t>44 sloop</t>
  </si>
  <si>
    <t>Sunsail</t>
  </si>
  <si>
    <t>384 CAT</t>
  </si>
  <si>
    <t>Kayak-Double</t>
  </si>
  <si>
    <t>43.3 sloop</t>
  </si>
  <si>
    <t>4700 club cat</t>
  </si>
  <si>
    <t>selected sum</t>
  </si>
  <si>
    <t xml:space="preserve">  Underage</t>
  </si>
  <si>
    <t>for large moorings cat</t>
  </si>
  <si>
    <t>\</t>
  </si>
  <si>
    <t>8 crew</t>
  </si>
  <si>
    <t>for med sunsail sloop</t>
  </si>
  <si>
    <t>for med sunsail cat</t>
  </si>
  <si>
    <t>sleeps</t>
  </si>
  <si>
    <t>8/10</t>
  </si>
  <si>
    <t>6/8</t>
  </si>
  <si>
    <t>6/8/10</t>
  </si>
  <si>
    <t>8/9</t>
  </si>
  <si>
    <t>(like Phuket)</t>
  </si>
  <si>
    <t>nights on board</t>
  </si>
  <si>
    <t>http://en.wikipedia.org/wiki/List_of_airports_by_ICAO_code:_T</t>
  </si>
  <si>
    <t>Air fare</t>
  </si>
  <si>
    <t>Apri 7-18, 2011</t>
  </si>
  <si>
    <t>Moorings Caribbean</t>
  </si>
  <si>
    <t>http://www.tntisland.com/aircode.html</t>
  </si>
  <si>
    <t>British Virgin Islands</t>
  </si>
  <si>
    <t>SFO</t>
  </si>
  <si>
    <t>EIS</t>
  </si>
  <si>
    <t>Tortola BVI</t>
  </si>
  <si>
    <t>EIS     Tortola, Beef Is., British Virgin Islands</t>
  </si>
  <si>
    <t>NGD     Anegada, British Virgin Islands</t>
  </si>
  <si>
    <t>Netherlands Antilles</t>
  </si>
  <si>
    <t>NSX     Virgin Gorda, Virgin Gorda [Virgin Gorda Naval Station], British Virgin Islands</t>
  </si>
  <si>
    <t>SXM</t>
  </si>
  <si>
    <t>St Martin Netherlands Antilles 45min to Moorings</t>
  </si>
  <si>
    <t>RAD     Tortola [Road Town Seaplane Base], British Virgin Islands</t>
  </si>
  <si>
    <t>Guadeloupe</t>
  </si>
  <si>
    <t>TOV     West End, Tortola, British Virgin Islands</t>
  </si>
  <si>
    <t>N/A</t>
  </si>
  <si>
    <t>CCE</t>
  </si>
  <si>
    <t>Saint Martin, Guadeloupe no Moorings</t>
  </si>
  <si>
    <t>VIJ     Virgin Gorda (Valley), Virgin Gorda, British Virgin Islands</t>
  </si>
  <si>
    <t>SFG</t>
  </si>
  <si>
    <t>Martinique and St. Lucia</t>
  </si>
  <si>
    <t>BON     Bonaire (Kralendijk) [Flamingo Airport], Netherlands Antilles</t>
  </si>
  <si>
    <t>FDF</t>
  </si>
  <si>
    <t>Martinique</t>
  </si>
  <si>
    <t>CUR     Curacao (Willemstad) [Aeropuerto Hato], Netherlands Antilles</t>
  </si>
  <si>
    <t>SLU</t>
  </si>
  <si>
    <t>St Lucia Regional Airport 30min to Moorings</t>
  </si>
  <si>
    <t>EUX     St. Eustathius [F.D. Roosevelt], Netherlands Antilles</t>
  </si>
  <si>
    <t>UVF</t>
  </si>
  <si>
    <t>St Lucia International Airport 2hrs to Moorings</t>
  </si>
  <si>
    <t>MSB     St. Maarten (Marigot), Netherlands Antilles</t>
  </si>
  <si>
    <t>QSM     St. Maarten, Netherlands Antilles</t>
  </si>
  <si>
    <t>St. Vincent &amp; the Grenadines Islands</t>
  </si>
  <si>
    <t>SAB     Saba, Netherlands Antilles</t>
  </si>
  <si>
    <t>GND</t>
  </si>
  <si>
    <t>Grenada ~5 miles to Moorings</t>
  </si>
  <si>
    <t>SXM     St. Maarten (Philipsburg) [Princes Juliana], Netherlands Antilles</t>
  </si>
  <si>
    <t>CIW</t>
  </si>
  <si>
    <t>Conouan Island Travel 5min to Moorings</t>
  </si>
  <si>
    <t>Bahamas</t>
  </si>
  <si>
    <t>MHH</t>
  </si>
  <si>
    <t>March Harbor Bahamas</t>
  </si>
  <si>
    <t>CCE     Saint Martin [Grand Case], Guadeloupe</t>
  </si>
  <si>
    <t>DSD     La Desirade, Guadeloupe</t>
  </si>
  <si>
    <t>Far Away Destinations</t>
  </si>
  <si>
    <t>GBJ     Marie Galante, Guadeloupe</t>
  </si>
  <si>
    <t>SYD</t>
  </si>
  <si>
    <t>Sydney Australia</t>
  </si>
  <si>
    <t>HTB     Terre de Bas, Guadeloupe</t>
  </si>
  <si>
    <t>TBU</t>
  </si>
  <si>
    <t>Tonga</t>
  </si>
  <si>
    <t>LSS     Les Saintes/Terre de Haut, Guadeloupe</t>
  </si>
  <si>
    <t>PPT</t>
  </si>
  <si>
    <t>PTP     Pointe-a-Pitre [Le Raizet], Guadeloupe</t>
  </si>
  <si>
    <t>SEZ</t>
  </si>
  <si>
    <t>Seychelles</t>
  </si>
  <si>
    <t>SBH     Saint Barthelemy, Guadeloupe</t>
  </si>
  <si>
    <t>SFC     Saint Francois, Guadeloupe</t>
  </si>
  <si>
    <t>SFG     Saint Martin [Esperance], Guadeloupe</t>
  </si>
  <si>
    <t>FDF     Fort-de-France [Le Lamentin], Martinique</t>
  </si>
  <si>
    <t>St. Lucia</t>
  </si>
  <si>
    <t>SLU     St. Lucia (Castries) [Vigie], St. Lucia</t>
  </si>
  <si>
    <t>UVF     St. Lucia (Vieux Fort) [Hewanorra], St. Lucia</t>
  </si>
  <si>
    <t>Grenada</t>
  </si>
  <si>
    <t>CRU     Carriacou, Grenada</t>
  </si>
  <si>
    <t>GND     Grenada (Grenville) [Pearls], Grenada</t>
  </si>
  <si>
    <t>GNO     Pointe Saline, Grenada</t>
  </si>
  <si>
    <t>BQU     Bequia, St. Vincent &amp; the Grenadines</t>
  </si>
  <si>
    <t>CIW     Canouan Island, Canouan Island, St. Vincent &amp; the Grenadines</t>
  </si>
  <si>
    <t>MQS     Mustique Island, St. Vincent &amp; the Grenadines</t>
  </si>
  <si>
    <t>PLI     Palm Island, St. Vincent &amp; the Grenadines</t>
  </si>
  <si>
    <t>SVD     Kingstown, St. Vincent [Arnos Vale], St. Vincent &amp; the Grenadines</t>
  </si>
  <si>
    <t>UNI     Union Island, St. Vincent &amp; the Grenadines</t>
  </si>
  <si>
    <t>ASD     Andros Town, Andros [International], Bahamas</t>
  </si>
  <si>
    <t>ATC     Arthur's Town, Cat, Bahamas</t>
  </si>
  <si>
    <t>AXP     Spring Point, Crooked [Municipal], Bahamas</t>
  </si>
  <si>
    <t>BIM     Bimini (Alice Town), Bimini [South Bimini International Airport], Bahamas</t>
  </si>
  <si>
    <t>CAT     Cat Island, Bahamas</t>
  </si>
  <si>
    <t>CCZ     Chub Cay, Berry, Bahamas</t>
  </si>
  <si>
    <t>CEL     Cape Eleuthera, Bahamas</t>
  </si>
  <si>
    <t>COX     Congo Town, Bahamas</t>
  </si>
  <si>
    <t>CQZ     Cherokee Sound, Bahamas</t>
  </si>
  <si>
    <t>CRI     Crooked Island, Crooked, Bahamas</t>
  </si>
  <si>
    <t>CXY     Cat Cay, Bahamas</t>
  </si>
  <si>
    <t>DCT     Duncan Town, Ragged, Bahamas</t>
  </si>
  <si>
    <t>ELH     North Eleuthera, Eleuthera [North Eleuthera], Bahamas</t>
  </si>
  <si>
    <t>FPO     Freeport, Grand Bahama [Freeport International Airport], Bahamas</t>
  </si>
  <si>
    <t>GBI     Grand Bahama Island, Grand Bahama, Bahamas</t>
  </si>
  <si>
    <t>GGT     George Town, Exuma, Bahamas</t>
  </si>
  <si>
    <t>GHB     Governors Harbour, Eleuthera, Bahamas</t>
  </si>
  <si>
    <t>GHC     Great Harbour Cay, Berry, Bahamas</t>
  </si>
  <si>
    <t>GTC     Green Turtle Cay, Bahamas</t>
  </si>
  <si>
    <t>HBI     Harbour Island, Bahamas</t>
  </si>
  <si>
    <t>IGA     Inagua (Matthew Town), Great Inagua, Bahamas</t>
  </si>
  <si>
    <t>LGI     Deadman's Cay, Long, Bahamas</t>
  </si>
  <si>
    <t>MAY     Mangrove Cay, Bahamas</t>
  </si>
  <si>
    <t>MHH     Marsh Harbour, Abaco, Bahamas</t>
  </si>
  <si>
    <t>MSK     Mastic Point, Bahamas</t>
  </si>
  <si>
    <t>MWX     Moss Town, Exuma [Exuma International], Bahamas</t>
  </si>
  <si>
    <t>MYG     Mayaguana, Mayaguana, Bahamas</t>
  </si>
  <si>
    <t>NAS     Nassau, New Providence [International Airport], Bahamas</t>
  </si>
  <si>
    <t>NMC     Norman's Cay, Bahamas</t>
  </si>
  <si>
    <t>NSB     Bimini, Bimini [North Seaplane Base], Bahamas</t>
  </si>
  <si>
    <t>PID     Paradise Island, Paradise, Bahamas</t>
  </si>
  <si>
    <t>PPO     Powell Point, Bahamas</t>
  </si>
  <si>
    <t>PWN     Pitts Town, Bahamas</t>
  </si>
  <si>
    <t>RSD     Rock Sound, Eleuthera, Bahamas</t>
  </si>
  <si>
    <t>SAQ     San Andros (Nichols Town), Andros [San Andros], Bahamas</t>
  </si>
  <si>
    <t>RCY     Rum Cay, Bahamas</t>
  </si>
  <si>
    <t>SML     Stella Maris, Long, Bahamas</t>
  </si>
  <si>
    <t>SWL     Spanish Wells, Bahamas</t>
  </si>
  <si>
    <t>TBI     The Bight, Bahamas</t>
  </si>
  <si>
    <t>TCB     Treasure Cay, Abaco, Bahamas</t>
  </si>
  <si>
    <t>TYM     Staniel Cay, Bahamas</t>
  </si>
  <si>
    <t>TZN     South Andros, Andros [Congo Town], Bahamas</t>
  </si>
  <si>
    <t>WKR     Walker's Cay, Abaco, Bahamas</t>
  </si>
  <si>
    <t>WTD     West End, Bahamas</t>
  </si>
  <si>
    <t>WZY     Nassau, New Providence [Nassau Seaplane Base], Bahamas</t>
  </si>
  <si>
    <t>ZSA     San Salvador (Cockburn Town), San Salvador, Bahamas</t>
  </si>
  <si>
    <t>Oceanis 372</t>
  </si>
  <si>
    <t>37 ft sloop 2</t>
  </si>
  <si>
    <t>RobCaine</t>
  </si>
  <si>
    <t>38 Cat 4</t>
  </si>
  <si>
    <t>RobCain</t>
  </si>
  <si>
    <t>43 Cat 4+1s</t>
  </si>
  <si>
    <t>4300 Club 4</t>
  </si>
  <si>
    <t>8</t>
  </si>
  <si>
    <t>41 sloop 3</t>
  </si>
  <si>
    <t>38 cat 4</t>
  </si>
  <si>
    <t>Cost Guess</t>
  </si>
  <si>
    <t>for Rob Cat</t>
  </si>
  <si>
    <t>for Big Rob Cat</t>
  </si>
  <si>
    <t>for Mooring Cat</t>
  </si>
  <si>
    <t>for Sunsail Cat</t>
  </si>
  <si>
    <t>6 crew</t>
  </si>
  <si>
    <t>for Mooring sloop</t>
  </si>
  <si>
    <t>4 crew</t>
  </si>
  <si>
    <t>for RobCaine sloop</t>
  </si>
  <si>
    <t>for 38' Cat</t>
  </si>
  <si>
    <t>solid</t>
  </si>
  <si>
    <t>for Sunsail 38 cat</t>
  </si>
  <si>
    <t>Tranfers</t>
  </si>
  <si>
    <t>Andrew</t>
  </si>
  <si>
    <t>Elisabeth</t>
  </si>
  <si>
    <t>extra $ in</t>
  </si>
  <si>
    <t>Tonga $</t>
  </si>
  <si>
    <t>Tongan per $</t>
  </si>
  <si>
    <t>ALL IN $</t>
  </si>
  <si>
    <t>TONGAN</t>
  </si>
  <si>
    <t>44.4 Cat</t>
  </si>
  <si>
    <t>38.4 Cat</t>
  </si>
  <si>
    <t>for 44 Cat</t>
  </si>
  <si>
    <t>for 38 Cat</t>
  </si>
  <si>
    <t>16 crew</t>
  </si>
  <si>
    <t>using both Cats (38 and 44)</t>
  </si>
  <si>
    <t>boat only costs</t>
  </si>
  <si>
    <t>DOUBLE CHECK THIS!</t>
  </si>
  <si>
    <t>ACCOUNTING FOR Athens Greece</t>
  </si>
  <si>
    <t>Teresa</t>
  </si>
  <si>
    <t>Sam</t>
  </si>
  <si>
    <t>Lara</t>
  </si>
  <si>
    <t>Monica</t>
  </si>
  <si>
    <t>Emily</t>
  </si>
  <si>
    <t>Susan</t>
  </si>
  <si>
    <t>Matt</t>
  </si>
  <si>
    <t>Debora</t>
  </si>
  <si>
    <t>Euro per $</t>
  </si>
  <si>
    <t>Prepay per</t>
  </si>
  <si>
    <t>tshirt size</t>
  </si>
  <si>
    <t>xl</t>
  </si>
  <si>
    <t>s</t>
  </si>
  <si>
    <t>l- w</t>
  </si>
  <si>
    <t xml:space="preserve">l </t>
  </si>
  <si>
    <t>m - w</t>
  </si>
  <si>
    <t>l-m</t>
  </si>
  <si>
    <t>m = w</t>
  </si>
  <si>
    <t>l - w</t>
  </si>
  <si>
    <t xml:space="preserve">m </t>
  </si>
  <si>
    <t>s w</t>
  </si>
  <si>
    <t>l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</si>
</sst>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0.0000"/>
    <numFmt numFmtId="167" formatCode="_(&quot;$&quot;* #,##0_);_(&quot;$&quot;* \(#,##0\);_(&quot;$&quot;* &quot;-&quot;??_);_(@_)"/>
  </numFmts>
  <fonts count="19" x14ac:knownFonts="1">
    <font>
      <sz val="10"/>
      <name val="Tahoma"/>
    </font>
    <font>
      <sz val="10"/>
      <color indexed="8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6"/>
      <name val="Arial"/>
      <family val="2"/>
    </font>
    <font>
      <b/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0"/>
      <color indexed="8"/>
      <name val="Arial"/>
      <family val="2"/>
    </font>
    <font>
      <sz val="8"/>
      <name val="Tahoma"/>
      <family val="2"/>
    </font>
    <font>
      <sz val="10"/>
      <name val="Tahoma"/>
      <family val="2"/>
    </font>
    <font>
      <sz val="10"/>
      <name val="Tahoma"/>
      <family val="2"/>
    </font>
    <font>
      <sz val="10"/>
      <color indexed="8"/>
      <name val="Tahoma"/>
      <family val="2"/>
    </font>
    <font>
      <u/>
      <sz val="10"/>
      <color indexed="12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rgb="FFFF0000"/>
      <name val="Tahoma"/>
      <family val="2"/>
    </font>
    <font>
      <sz val="10"/>
      <name val="Tahoma"/>
    </font>
    <font>
      <b/>
      <sz val="11"/>
      <color theme="3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44" fontId="17" fillId="0" borderId="0" applyFont="0" applyFill="0" applyBorder="0" applyAlignment="0" applyProtection="0"/>
  </cellStyleXfs>
  <cellXfs count="62">
    <xf numFmtId="0" fontId="0" fillId="0" borderId="0" xfId="0"/>
    <xf numFmtId="165" fontId="3" fillId="0" borderId="0" xfId="0" applyNumberFormat="1" applyFont="1"/>
    <xf numFmtId="165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quotePrefix="1" applyFont="1"/>
    <xf numFmtId="0" fontId="4" fillId="0" borderId="0" xfId="0" applyFont="1"/>
    <xf numFmtId="164" fontId="3" fillId="0" borderId="0" xfId="0" applyNumberFormat="1" applyFont="1"/>
    <xf numFmtId="3" fontId="3" fillId="0" borderId="0" xfId="0" applyNumberFormat="1" applyFont="1"/>
    <xf numFmtId="0" fontId="2" fillId="0" borderId="0" xfId="0" applyFont="1"/>
    <xf numFmtId="1" fontId="2" fillId="0" borderId="0" xfId="0" applyNumberFormat="1" applyFont="1"/>
    <xf numFmtId="3" fontId="2" fillId="0" borderId="0" xfId="0" applyNumberFormat="1" applyFont="1"/>
    <xf numFmtId="6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right"/>
    </xf>
    <xf numFmtId="0" fontId="1" fillId="2" borderId="0" xfId="0" applyFont="1" applyFill="1"/>
    <xf numFmtId="165" fontId="3" fillId="2" borderId="0" xfId="0" applyNumberFormat="1" applyFont="1" applyFill="1"/>
    <xf numFmtId="0" fontId="1" fillId="0" borderId="0" xfId="0" quotePrefix="1" applyFont="1"/>
    <xf numFmtId="0" fontId="1" fillId="3" borderId="0" xfId="0" applyFont="1" applyFill="1"/>
    <xf numFmtId="0" fontId="1" fillId="4" borderId="0" xfId="0" applyFont="1" applyFill="1"/>
    <xf numFmtId="165" fontId="3" fillId="4" borderId="0" xfId="0" applyNumberFormat="1" applyFont="1" applyFill="1"/>
    <xf numFmtId="165" fontId="1" fillId="4" borderId="0" xfId="0" applyNumberFormat="1" applyFont="1" applyFill="1"/>
    <xf numFmtId="165" fontId="3" fillId="0" borderId="0" xfId="0" quotePrefix="1" applyNumberFormat="1" applyFont="1"/>
    <xf numFmtId="44" fontId="1" fillId="3" borderId="0" xfId="0" applyNumberFormat="1" applyFont="1" applyFill="1"/>
    <xf numFmtId="44" fontId="1" fillId="0" borderId="0" xfId="0" applyNumberFormat="1" applyFont="1"/>
    <xf numFmtId="0" fontId="5" fillId="0" borderId="0" xfId="0" applyFont="1"/>
    <xf numFmtId="0" fontId="6" fillId="0" borderId="0" xfId="0" applyFont="1"/>
    <xf numFmtId="0" fontId="7" fillId="3" borderId="0" xfId="0" applyFont="1" applyFill="1"/>
    <xf numFmtId="0" fontId="7" fillId="0" borderId="0" xfId="0" applyFont="1"/>
    <xf numFmtId="0" fontId="8" fillId="0" borderId="0" xfId="0" applyFont="1"/>
    <xf numFmtId="0" fontId="7" fillId="3" borderId="1" xfId="0" applyFont="1" applyFill="1" applyBorder="1"/>
    <xf numFmtId="0" fontId="1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1" fontId="1" fillId="0" borderId="0" xfId="0" applyNumberFormat="1" applyFont="1"/>
    <xf numFmtId="165" fontId="6" fillId="0" borderId="0" xfId="0" applyNumberFormat="1" applyFont="1"/>
    <xf numFmtId="2" fontId="1" fillId="0" borderId="0" xfId="0" applyNumberFormat="1" applyFont="1"/>
    <xf numFmtId="16" fontId="0" fillId="0" borderId="0" xfId="0" applyNumberFormat="1"/>
    <xf numFmtId="0" fontId="11" fillId="0" borderId="0" xfId="0" applyFont="1"/>
    <xf numFmtId="166" fontId="0" fillId="0" borderId="0" xfId="0" applyNumberFormat="1"/>
    <xf numFmtId="0" fontId="12" fillId="4" borderId="0" xfId="0" applyFont="1" applyFill="1"/>
    <xf numFmtId="16" fontId="11" fillId="0" borderId="0" xfId="0" quotePrefix="1" applyNumberFormat="1" applyFont="1"/>
    <xf numFmtId="0" fontId="11" fillId="0" borderId="0" xfId="0" quotePrefix="1" applyFont="1"/>
    <xf numFmtId="0" fontId="13" fillId="2" borderId="0" xfId="1" applyFill="1" applyAlignment="1" applyProtection="1"/>
    <xf numFmtId="0" fontId="14" fillId="0" borderId="0" xfId="0" applyFont="1"/>
    <xf numFmtId="0" fontId="0" fillId="0" borderId="0" xfId="0" applyAlignment="1">
      <alignment horizontal="right"/>
    </xf>
    <xf numFmtId="0" fontId="15" fillId="0" borderId="0" xfId="0" applyFont="1"/>
    <xf numFmtId="49" fontId="11" fillId="0" borderId="0" xfId="0" quotePrefix="1" applyNumberFormat="1" applyFont="1"/>
    <xf numFmtId="167" fontId="1" fillId="0" borderId="0" xfId="0" applyNumberFormat="1" applyFont="1"/>
    <xf numFmtId="0" fontId="0" fillId="5" borderId="0" xfId="0" applyFill="1"/>
    <xf numFmtId="0" fontId="10" fillId="0" borderId="0" xfId="0" applyFont="1"/>
    <xf numFmtId="0" fontId="3" fillId="0" borderId="0" xfId="0" applyFont="1"/>
    <xf numFmtId="166" fontId="0" fillId="5" borderId="0" xfId="0" applyNumberFormat="1" applyFill="1"/>
    <xf numFmtId="0" fontId="16" fillId="0" borderId="0" xfId="0" applyFont="1"/>
    <xf numFmtId="0" fontId="0" fillId="6" borderId="0" xfId="0" applyFill="1"/>
    <xf numFmtId="167" fontId="0" fillId="0" borderId="0" xfId="2" applyNumberFormat="1" applyFont="1"/>
    <xf numFmtId="0" fontId="18" fillId="0" borderId="0" xfId="0" applyFont="1"/>
    <xf numFmtId="0" fontId="0" fillId="7" borderId="0" xfId="0" applyFill="1"/>
    <xf numFmtId="0" fontId="10" fillId="7" borderId="0" xfId="0" applyFont="1" applyFill="1"/>
    <xf numFmtId="2" fontId="1" fillId="7" borderId="0" xfId="0" applyNumberFormat="1" applyFont="1" applyFill="1"/>
    <xf numFmtId="3" fontId="3" fillId="7" borderId="0" xfId="0" applyNumberFormat="1" applyFont="1" applyFill="1"/>
    <xf numFmtId="0" fontId="11" fillId="7" borderId="0" xfId="0" applyFont="1" applyFill="1"/>
    <xf numFmtId="0" fontId="2" fillId="7" borderId="0" xfId="0" applyFont="1" applyFill="1"/>
    <xf numFmtId="167" fontId="2" fillId="6" borderId="0" xfId="2" applyNumberFormat="1" applyFont="1" applyFill="1"/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419100</xdr:colOff>
      <xdr:row>47</xdr:row>
      <xdr:rowOff>114300</xdr:rowOff>
    </xdr:to>
    <xdr:pic>
      <xdr:nvPicPr>
        <xdr:cNvPr id="10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43900" cy="772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oorings.com/vacation-options/bareboat-yacht-charter/destinations/caribbean/bahamas" TargetMode="External"/><Relationship Id="rId3" Type="http://schemas.openxmlformats.org/officeDocument/2006/relationships/hyperlink" Target="http://www.moorings.com/vacation-options/bareboat-yacht-charter/destinations/caribbean" TargetMode="External"/><Relationship Id="rId7" Type="http://schemas.openxmlformats.org/officeDocument/2006/relationships/hyperlink" Target="http://www.moorings.com/vacation-options/bareboat-yacht-charter/destinations/caribbean/st-martin" TargetMode="External"/><Relationship Id="rId2" Type="http://schemas.openxmlformats.org/officeDocument/2006/relationships/hyperlink" Target="http://en.wikipedia.org/wiki/List_of_airports_by_ICAO_code:_T" TargetMode="External"/><Relationship Id="rId1" Type="http://schemas.openxmlformats.org/officeDocument/2006/relationships/hyperlink" Target="http://www.tntisland.com/aircode.html" TargetMode="External"/><Relationship Id="rId6" Type="http://schemas.openxmlformats.org/officeDocument/2006/relationships/hyperlink" Target="http://www.moorings.com/vacation-options/bareboat-yacht-charter/destinations/caribbean/st-lucia" TargetMode="External"/><Relationship Id="rId5" Type="http://schemas.openxmlformats.org/officeDocument/2006/relationships/hyperlink" Target="http://www.moorings.com/vacation-options/bareboat-yacht-charter/destinations/caribbean/grenada" TargetMode="External"/><Relationship Id="rId4" Type="http://schemas.openxmlformats.org/officeDocument/2006/relationships/hyperlink" Target="http://www.moorings.com/vacation-options/bareboat-yacht-charter/destinations/caribbean/st-vincent-grenadines/canouan" TargetMode="External"/><Relationship Id="rId9" Type="http://schemas.openxmlformats.org/officeDocument/2006/relationships/hyperlink" Target="http://www.moorings.com/vacation-options/bareboat-yacht-charter/destinations/caribbean/british-virgin-island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abSelected="1" topLeftCell="C1" workbookViewId="0">
      <pane ySplit="10455"/>
      <selection activeCell="F3" sqref="F3"/>
      <selection pane="bottomLeft"/>
    </sheetView>
  </sheetViews>
  <sheetFormatPr defaultColWidth="8.42578125" defaultRowHeight="12.75" x14ac:dyDescent="0.2"/>
  <cols>
    <col min="1" max="1" width="11" customWidth="1"/>
    <col min="2" max="2" width="13.85546875" customWidth="1"/>
    <col min="3" max="6" width="12.5703125" bestFit="1" customWidth="1"/>
    <col min="7" max="7" width="11" bestFit="1" customWidth="1"/>
    <col min="8" max="8" width="12.85546875" customWidth="1"/>
    <col min="9" max="9" width="12.5703125" bestFit="1" customWidth="1"/>
    <col min="10" max="19" width="11" bestFit="1" customWidth="1"/>
  </cols>
  <sheetData>
    <row r="1" spans="1:19" x14ac:dyDescent="0.2">
      <c r="A1" s="48" t="s">
        <v>593</v>
      </c>
    </row>
    <row r="2" spans="1:19" ht="14.25" x14ac:dyDescent="0.2">
      <c r="A2" t="s">
        <v>1</v>
      </c>
      <c r="C2" s="54" t="s">
        <v>2</v>
      </c>
      <c r="D2" s="54" t="s">
        <v>3</v>
      </c>
      <c r="E2" s="54" t="s">
        <v>75</v>
      </c>
      <c r="F2" s="54" t="s">
        <v>76</v>
      </c>
      <c r="G2" s="54" t="s">
        <v>77</v>
      </c>
      <c r="H2" s="54" t="s">
        <v>594</v>
      </c>
      <c r="I2" s="54" t="s">
        <v>9</v>
      </c>
      <c r="J2" s="54" t="s">
        <v>595</v>
      </c>
      <c r="K2" s="54" t="s">
        <v>596</v>
      </c>
      <c r="L2" s="54" t="s">
        <v>597</v>
      </c>
      <c r="M2" s="54" t="s">
        <v>579</v>
      </c>
      <c r="N2" s="54" t="s">
        <v>109</v>
      </c>
      <c r="O2" s="54" t="s">
        <v>598</v>
      </c>
      <c r="P2" s="54" t="s">
        <v>599</v>
      </c>
      <c r="Q2" s="54" t="s">
        <v>600</v>
      </c>
      <c r="R2" s="54" t="s">
        <v>110</v>
      </c>
      <c r="S2" s="54" t="s">
        <v>601</v>
      </c>
    </row>
    <row r="3" spans="1:19" x14ac:dyDescent="0.2">
      <c r="B3" t="s">
        <v>604</v>
      </c>
      <c r="C3" t="s">
        <v>605</v>
      </c>
      <c r="D3" s="48" t="s">
        <v>606</v>
      </c>
      <c r="E3" s="48" t="s">
        <v>605</v>
      </c>
      <c r="F3" s="48" t="s">
        <v>607</v>
      </c>
      <c r="G3" s="48" t="s">
        <v>608</v>
      </c>
      <c r="H3" s="48" t="s">
        <v>609</v>
      </c>
      <c r="I3" s="48" t="s">
        <v>610</v>
      </c>
      <c r="J3" s="48"/>
      <c r="K3" s="48"/>
      <c r="L3" s="48" t="s">
        <v>611</v>
      </c>
      <c r="M3" s="48" t="s">
        <v>612</v>
      </c>
      <c r="N3" s="48" t="s">
        <v>613</v>
      </c>
      <c r="O3" s="48" t="s">
        <v>614</v>
      </c>
      <c r="P3" s="48" t="s">
        <v>615</v>
      </c>
      <c r="Q3" s="48" t="s">
        <v>605</v>
      </c>
      <c r="R3" s="48"/>
      <c r="S3" s="48"/>
    </row>
    <row r="4" spans="1:19" x14ac:dyDescent="0.2">
      <c r="B4" t="s">
        <v>11</v>
      </c>
      <c r="C4" s="5"/>
      <c r="D4" s="5"/>
      <c r="E4" s="5"/>
      <c r="F4" s="5"/>
      <c r="G4" s="5"/>
      <c r="H4" s="5"/>
      <c r="I4" s="5"/>
    </row>
    <row r="5" spans="1:19" x14ac:dyDescent="0.2">
      <c r="B5" t="s">
        <v>12</v>
      </c>
      <c r="C5" s="53">
        <v>1500</v>
      </c>
      <c r="D5" s="53">
        <v>1500</v>
      </c>
      <c r="E5" s="53">
        <v>1500</v>
      </c>
      <c r="F5" s="53">
        <v>1500</v>
      </c>
      <c r="G5" s="53">
        <v>500</v>
      </c>
      <c r="H5" s="53">
        <v>500</v>
      </c>
      <c r="I5" s="53">
        <v>1500</v>
      </c>
      <c r="J5" s="53">
        <v>500</v>
      </c>
      <c r="K5" s="53">
        <v>500</v>
      </c>
      <c r="L5" s="53">
        <v>500</v>
      </c>
      <c r="M5" s="53">
        <v>500</v>
      </c>
      <c r="N5" s="53">
        <v>1000</v>
      </c>
      <c r="O5" s="53">
        <v>500</v>
      </c>
      <c r="P5" s="53">
        <v>500</v>
      </c>
      <c r="Q5" s="53">
        <v>500</v>
      </c>
      <c r="R5" s="53">
        <v>500</v>
      </c>
      <c r="S5" s="53">
        <v>500</v>
      </c>
    </row>
    <row r="6" spans="1:19" x14ac:dyDescent="0.2">
      <c r="B6" s="48" t="s">
        <v>580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</row>
    <row r="7" spans="1:19" x14ac:dyDescent="0.2">
      <c r="A7" t="s">
        <v>603</v>
      </c>
    </row>
    <row r="8" spans="1:19" x14ac:dyDescent="0.2">
      <c r="A8" s="53">
        <v>1500</v>
      </c>
    </row>
    <row r="10" spans="1:19" x14ac:dyDescent="0.2">
      <c r="A10" t="s">
        <v>17</v>
      </c>
      <c r="C10">
        <f t="shared" ref="C10:S10" si="0">SUM(C5:C9)</f>
        <v>1500</v>
      </c>
      <c r="D10">
        <f t="shared" si="0"/>
        <v>1500</v>
      </c>
      <c r="E10">
        <f t="shared" si="0"/>
        <v>1500</v>
      </c>
      <c r="F10">
        <f t="shared" si="0"/>
        <v>1500</v>
      </c>
      <c r="G10">
        <f t="shared" si="0"/>
        <v>500</v>
      </c>
      <c r="H10">
        <f t="shared" si="0"/>
        <v>500</v>
      </c>
      <c r="I10">
        <f t="shared" si="0"/>
        <v>1500</v>
      </c>
      <c r="J10">
        <f t="shared" si="0"/>
        <v>500</v>
      </c>
      <c r="K10">
        <f t="shared" si="0"/>
        <v>500</v>
      </c>
      <c r="L10">
        <f t="shared" si="0"/>
        <v>500</v>
      </c>
      <c r="M10">
        <f t="shared" si="0"/>
        <v>500</v>
      </c>
      <c r="N10">
        <f t="shared" si="0"/>
        <v>1000</v>
      </c>
      <c r="O10">
        <f t="shared" si="0"/>
        <v>500</v>
      </c>
      <c r="P10">
        <f t="shared" si="0"/>
        <v>500</v>
      </c>
      <c r="Q10">
        <f t="shared" si="0"/>
        <v>500</v>
      </c>
      <c r="R10">
        <f t="shared" si="0"/>
        <v>500</v>
      </c>
      <c r="S10">
        <f t="shared" si="0"/>
        <v>500</v>
      </c>
    </row>
    <row r="11" spans="1:19" x14ac:dyDescent="0.2">
      <c r="B11" t="s">
        <v>411</v>
      </c>
      <c r="C11">
        <f>C10/$B24</f>
        <v>5.8823529411764705E-2</v>
      </c>
      <c r="I11">
        <f>I10/$B24</f>
        <v>5.8823529411764705E-2</v>
      </c>
    </row>
    <row r="12" spans="1:19" x14ac:dyDescent="0.2">
      <c r="A12" s="52" t="s">
        <v>18</v>
      </c>
      <c r="B12" s="61">
        <f>SUM(C12:M12)</f>
        <v>14808</v>
      </c>
      <c r="C12" s="8">
        <f t="shared" ref="C12:S12" si="1">SUM(C14:C22)</f>
        <v>14808</v>
      </c>
      <c r="D12" s="8">
        <f t="shared" si="1"/>
        <v>0</v>
      </c>
      <c r="E12" s="8">
        <f t="shared" si="1"/>
        <v>0</v>
      </c>
      <c r="F12" s="8">
        <f t="shared" si="1"/>
        <v>0</v>
      </c>
      <c r="G12" s="8">
        <f t="shared" si="1"/>
        <v>0</v>
      </c>
      <c r="H12" s="10">
        <f t="shared" si="1"/>
        <v>0</v>
      </c>
      <c r="I12" s="10">
        <f t="shared" si="1"/>
        <v>0</v>
      </c>
      <c r="J12" s="10">
        <f t="shared" si="1"/>
        <v>0</v>
      </c>
      <c r="K12" s="10">
        <f t="shared" si="1"/>
        <v>0</v>
      </c>
      <c r="L12" s="10">
        <f t="shared" si="1"/>
        <v>0</v>
      </c>
      <c r="M12" s="10">
        <f t="shared" si="1"/>
        <v>0</v>
      </c>
      <c r="N12" s="10">
        <f t="shared" si="1"/>
        <v>0</v>
      </c>
      <c r="O12" s="10">
        <f t="shared" si="1"/>
        <v>0</v>
      </c>
      <c r="P12" s="10">
        <f t="shared" si="1"/>
        <v>0</v>
      </c>
      <c r="Q12" s="10">
        <f t="shared" si="1"/>
        <v>0</v>
      </c>
      <c r="R12" s="10">
        <f t="shared" si="1"/>
        <v>0</v>
      </c>
      <c r="S12" s="10">
        <f t="shared" si="1"/>
        <v>0</v>
      </c>
    </row>
    <row r="13" spans="1:19" x14ac:dyDescent="0.2">
      <c r="A13" t="s">
        <v>19</v>
      </c>
      <c r="C13" t="s">
        <v>20</v>
      </c>
      <c r="E13" s="13" t="s">
        <v>21</v>
      </c>
      <c r="F13" s="50">
        <v>1.1000000000000001</v>
      </c>
      <c r="G13" s="48" t="s">
        <v>602</v>
      </c>
    </row>
    <row r="14" spans="1:19" x14ac:dyDescent="0.2">
      <c r="B14" t="s">
        <v>23</v>
      </c>
      <c r="C14" s="55">
        <v>7161</v>
      </c>
      <c r="D14" s="55">
        <v>0</v>
      </c>
      <c r="E14" s="55"/>
      <c r="F14" s="55"/>
      <c r="G14" s="56"/>
      <c r="H14" s="55"/>
      <c r="I14" s="55"/>
      <c r="J14" s="55"/>
      <c r="K14" s="55"/>
      <c r="L14" s="55"/>
      <c r="M14" s="56"/>
      <c r="N14" s="55"/>
      <c r="O14" s="55"/>
      <c r="P14" s="55"/>
      <c r="Q14" s="55"/>
      <c r="R14" s="55"/>
      <c r="S14" s="55"/>
    </row>
    <row r="15" spans="1:19" x14ac:dyDescent="0.2">
      <c r="C15" s="55">
        <v>7647</v>
      </c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7"/>
      <c r="O15" s="55"/>
      <c r="P15" s="55"/>
      <c r="Q15" s="55"/>
      <c r="R15" s="55"/>
      <c r="S15" s="55"/>
    </row>
    <row r="16" spans="1:19" x14ac:dyDescent="0.2">
      <c r="C16" s="55"/>
      <c r="D16" s="55"/>
      <c r="E16" s="55"/>
      <c r="F16" s="55"/>
      <c r="G16" s="55"/>
      <c r="H16" s="55"/>
      <c r="I16" s="58"/>
      <c r="J16" s="55"/>
      <c r="K16" s="55"/>
      <c r="L16" s="55"/>
      <c r="M16" s="59"/>
      <c r="N16" s="55"/>
      <c r="O16" s="55"/>
      <c r="P16" s="55"/>
      <c r="Q16" s="55"/>
      <c r="R16" s="55"/>
      <c r="S16" s="55"/>
    </row>
    <row r="17" spans="1:19" x14ac:dyDescent="0.2">
      <c r="C17" s="55"/>
      <c r="D17" s="55"/>
      <c r="E17" s="55"/>
      <c r="F17" s="55"/>
      <c r="G17" s="55"/>
      <c r="H17" s="55"/>
      <c r="I17" s="55"/>
      <c r="J17" s="60"/>
      <c r="K17" s="55"/>
      <c r="L17" s="55"/>
      <c r="M17" s="55"/>
      <c r="N17" s="55"/>
      <c r="O17" s="55"/>
      <c r="P17" s="55"/>
      <c r="Q17" s="55"/>
      <c r="R17" s="55"/>
      <c r="S17" s="55"/>
    </row>
    <row r="18" spans="1:19" x14ac:dyDescent="0.2"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 x14ac:dyDescent="0.2"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</row>
    <row r="20" spans="1:19" x14ac:dyDescent="0.2"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</row>
    <row r="21" spans="1:19" x14ac:dyDescent="0.2">
      <c r="B21" s="48" t="s">
        <v>583</v>
      </c>
      <c r="D21" s="48"/>
      <c r="E21" s="48"/>
      <c r="F21" s="48"/>
      <c r="G21" s="48"/>
      <c r="H21" s="48"/>
    </row>
    <row r="23" spans="1:19" x14ac:dyDescent="0.2">
      <c r="A23" t="s">
        <v>24</v>
      </c>
      <c r="B23" s="4" t="s">
        <v>25</v>
      </c>
      <c r="E23">
        <f>6*1200</f>
        <v>7200</v>
      </c>
    </row>
    <row r="24" spans="1:19" x14ac:dyDescent="0.2">
      <c r="A24" s="52" t="s">
        <v>26</v>
      </c>
      <c r="B24" s="52">
        <f>1500*17</f>
        <v>25500</v>
      </c>
      <c r="D24" t="s">
        <v>65</v>
      </c>
    </row>
    <row r="25" spans="1:19" x14ac:dyDescent="0.2">
      <c r="A25" s="52" t="s">
        <v>29</v>
      </c>
      <c r="B25" s="52">
        <f>+B12</f>
        <v>14808</v>
      </c>
      <c r="C25" t="s">
        <v>85</v>
      </c>
      <c r="D25" s="1">
        <f>B12/17</f>
        <v>871.05882352941171</v>
      </c>
      <c r="E25" s="1"/>
    </row>
    <row r="26" spans="1:19" x14ac:dyDescent="0.2">
      <c r="A26" t="s">
        <v>86</v>
      </c>
      <c r="B26">
        <f>B24-B25</f>
        <v>10692</v>
      </c>
      <c r="C26">
        <f t="shared" ref="C26:S26" si="2">C10+C12</f>
        <v>16308</v>
      </c>
      <c r="D26">
        <f t="shared" si="2"/>
        <v>1500</v>
      </c>
      <c r="E26">
        <f t="shared" si="2"/>
        <v>1500</v>
      </c>
      <c r="F26">
        <f t="shared" si="2"/>
        <v>1500</v>
      </c>
      <c r="G26">
        <f t="shared" si="2"/>
        <v>500</v>
      </c>
      <c r="H26">
        <f t="shared" si="2"/>
        <v>500</v>
      </c>
      <c r="I26">
        <f t="shared" si="2"/>
        <v>1500</v>
      </c>
      <c r="J26">
        <f t="shared" si="2"/>
        <v>500</v>
      </c>
      <c r="K26">
        <f t="shared" si="2"/>
        <v>500</v>
      </c>
      <c r="L26">
        <f t="shared" si="2"/>
        <v>500</v>
      </c>
      <c r="M26">
        <f t="shared" si="2"/>
        <v>500</v>
      </c>
      <c r="N26">
        <f t="shared" si="2"/>
        <v>1000</v>
      </c>
      <c r="O26">
        <f t="shared" si="2"/>
        <v>500</v>
      </c>
      <c r="P26">
        <f t="shared" si="2"/>
        <v>500</v>
      </c>
      <c r="Q26">
        <f t="shared" si="2"/>
        <v>500</v>
      </c>
      <c r="R26">
        <f t="shared" si="2"/>
        <v>500</v>
      </c>
      <c r="S26">
        <f t="shared" si="2"/>
        <v>500</v>
      </c>
    </row>
    <row r="27" spans="1:19" x14ac:dyDescent="0.2">
      <c r="A27" s="14" t="s">
        <v>31</v>
      </c>
      <c r="B27" s="14"/>
      <c r="C27" s="15">
        <f t="shared" ref="C27:S27" si="3">C26-$D$25</f>
        <v>15436.941176470587</v>
      </c>
      <c r="D27" s="15">
        <f t="shared" si="3"/>
        <v>628.94117647058829</v>
      </c>
      <c r="E27" s="15">
        <f t="shared" si="3"/>
        <v>628.94117647058829</v>
      </c>
      <c r="F27" s="15">
        <f t="shared" si="3"/>
        <v>628.94117647058829</v>
      </c>
      <c r="G27" s="15">
        <f t="shared" si="3"/>
        <v>-371.05882352941171</v>
      </c>
      <c r="H27" s="15">
        <f t="shared" si="3"/>
        <v>-371.05882352941171</v>
      </c>
      <c r="I27" s="15">
        <f t="shared" si="3"/>
        <v>628.94117647058829</v>
      </c>
      <c r="J27" s="15">
        <f t="shared" si="3"/>
        <v>-371.05882352941171</v>
      </c>
      <c r="K27" s="15">
        <f t="shared" si="3"/>
        <v>-371.05882352941171</v>
      </c>
      <c r="L27" s="15">
        <f t="shared" si="3"/>
        <v>-371.05882352941171</v>
      </c>
      <c r="M27" s="15">
        <f t="shared" si="3"/>
        <v>-371.05882352941171</v>
      </c>
      <c r="N27" s="15">
        <f t="shared" si="3"/>
        <v>128.94117647058829</v>
      </c>
      <c r="O27" s="15">
        <f t="shared" si="3"/>
        <v>-371.05882352941171</v>
      </c>
      <c r="P27" s="15">
        <f t="shared" si="3"/>
        <v>-371.05882352941171</v>
      </c>
      <c r="Q27" s="15">
        <f t="shared" si="3"/>
        <v>-371.05882352941171</v>
      </c>
      <c r="R27" s="15">
        <f t="shared" si="3"/>
        <v>-371.05882352941171</v>
      </c>
      <c r="S27" s="15">
        <f t="shared" si="3"/>
        <v>-371.05882352941171</v>
      </c>
    </row>
    <row r="28" spans="1:19" x14ac:dyDescent="0.2">
      <c r="A28" t="s">
        <v>33</v>
      </c>
      <c r="B28" s="12">
        <f>$A$8-D25</f>
        <v>628.94117647058829</v>
      </c>
      <c r="C28" s="12">
        <f>C27+D27</f>
        <v>16065.882352941175</v>
      </c>
      <c r="D28" s="12"/>
      <c r="E28" s="12">
        <f>E27+F27</f>
        <v>1257.8823529411766</v>
      </c>
      <c r="F28" s="12"/>
      <c r="G28" s="12">
        <f>G27+H27</f>
        <v>-742.11764705882342</v>
      </c>
      <c r="H28" s="12"/>
      <c r="I28" s="12">
        <f>I27+J27</f>
        <v>257.88235294117658</v>
      </c>
      <c r="K28" t="s">
        <v>34</v>
      </c>
    </row>
    <row r="31" spans="1:19" x14ac:dyDescent="0.2">
      <c r="A31" t="s">
        <v>11</v>
      </c>
    </row>
    <row r="32" spans="1:19" x14ac:dyDescent="0.2">
      <c r="C32" t="s">
        <v>89</v>
      </c>
      <c r="D32" t="s">
        <v>90</v>
      </c>
      <c r="F32" t="s">
        <v>91</v>
      </c>
      <c r="G32" t="s">
        <v>89</v>
      </c>
      <c r="H32" t="s">
        <v>90</v>
      </c>
      <c r="J32" s="1"/>
    </row>
    <row r="33" spans="1:10" x14ac:dyDescent="0.2">
      <c r="A33" t="s">
        <v>35</v>
      </c>
      <c r="C33" s="11">
        <f>D25</f>
        <v>871.05882352941171</v>
      </c>
      <c r="D33">
        <v>828</v>
      </c>
      <c r="F33" t="s">
        <v>92</v>
      </c>
      <c r="G33">
        <v>613</v>
      </c>
      <c r="H33">
        <v>306.5</v>
      </c>
    </row>
    <row r="34" spans="1:10" x14ac:dyDescent="0.2">
      <c r="A34" t="s">
        <v>36</v>
      </c>
      <c r="C34" s="11">
        <f>B24</f>
        <v>25500</v>
      </c>
      <c r="F34" t="s">
        <v>93</v>
      </c>
      <c r="G34">
        <v>200</v>
      </c>
      <c r="H34">
        <v>50</v>
      </c>
    </row>
    <row r="35" spans="1:10" x14ac:dyDescent="0.2">
      <c r="A35" t="s">
        <v>37</v>
      </c>
      <c r="C35" s="11">
        <f>B25</f>
        <v>14808</v>
      </c>
      <c r="F35" t="s">
        <v>94</v>
      </c>
      <c r="G35">
        <f>1100-813</f>
        <v>287</v>
      </c>
      <c r="H35">
        <f>G35/2</f>
        <v>143.5</v>
      </c>
      <c r="J35" s="12"/>
    </row>
    <row r="36" spans="1:10" x14ac:dyDescent="0.2">
      <c r="F36" t="s">
        <v>95</v>
      </c>
      <c r="G36">
        <f>SUM(G33:G35)</f>
        <v>1100</v>
      </c>
      <c r="H36">
        <f>SUM(H33:H35)</f>
        <v>500</v>
      </c>
    </row>
    <row r="38" spans="1:10" x14ac:dyDescent="0.2">
      <c r="A38" t="s">
        <v>38</v>
      </c>
    </row>
    <row r="40" spans="1:10" x14ac:dyDescent="0.2">
      <c r="C40" s="1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topLeftCell="A2" workbookViewId="0">
      <pane ySplit="495" topLeftCell="A2" activePane="bottomLeft"/>
      <selection activeCell="B6" sqref="B6"/>
      <selection pane="bottomLeft" activeCell="B6" sqref="B6"/>
    </sheetView>
  </sheetViews>
  <sheetFormatPr defaultRowHeight="12.75" x14ac:dyDescent="0.2"/>
  <cols>
    <col min="2" max="2" width="11.28515625" customWidth="1"/>
  </cols>
  <sheetData>
    <row r="1" spans="1:11" x14ac:dyDescent="0.2">
      <c r="A1" t="s">
        <v>0</v>
      </c>
    </row>
    <row r="2" spans="1:11" x14ac:dyDescent="0.2">
      <c r="A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 x14ac:dyDescent="0.2">
      <c r="B3" t="s">
        <v>11</v>
      </c>
      <c r="C3" s="5"/>
      <c r="D3" s="5"/>
      <c r="E3" s="5"/>
      <c r="F3" s="5"/>
      <c r="G3" s="5"/>
      <c r="H3" s="5"/>
      <c r="I3" s="5"/>
    </row>
    <row r="4" spans="1:11" x14ac:dyDescent="0.2">
      <c r="B4" t="s">
        <v>12</v>
      </c>
      <c r="C4">
        <f t="shared" ref="C4:I4" si="0">$B$7</f>
        <v>1400</v>
      </c>
      <c r="D4">
        <f t="shared" si="0"/>
        <v>1400</v>
      </c>
      <c r="E4">
        <f t="shared" si="0"/>
        <v>1400</v>
      </c>
      <c r="F4">
        <f t="shared" si="0"/>
        <v>1400</v>
      </c>
      <c r="G4">
        <f t="shared" si="0"/>
        <v>1400</v>
      </c>
      <c r="H4">
        <f t="shared" si="0"/>
        <v>1400</v>
      </c>
      <c r="I4">
        <f t="shared" si="0"/>
        <v>1400</v>
      </c>
      <c r="J4">
        <f>$B$7*B6</f>
        <v>932.40000000000009</v>
      </c>
      <c r="K4">
        <f>$B$7*$B6</f>
        <v>932.40000000000009</v>
      </c>
    </row>
    <row r="5" spans="1:11" x14ac:dyDescent="0.2">
      <c r="B5" t="s">
        <v>13</v>
      </c>
    </row>
    <row r="6" spans="1:11" x14ac:dyDescent="0.2">
      <c r="B6">
        <v>0.66600000000000004</v>
      </c>
      <c r="C6" t="s">
        <v>14</v>
      </c>
    </row>
    <row r="7" spans="1:11" x14ac:dyDescent="0.2">
      <c r="B7">
        <v>1400</v>
      </c>
      <c r="C7" t="s">
        <v>15</v>
      </c>
    </row>
    <row r="8" spans="1:11" x14ac:dyDescent="0.2">
      <c r="B8">
        <f>7+(2*B6)</f>
        <v>8.3320000000000007</v>
      </c>
      <c r="C8" t="s">
        <v>16</v>
      </c>
    </row>
    <row r="9" spans="1:11" x14ac:dyDescent="0.2">
      <c r="A9" t="s">
        <v>17</v>
      </c>
      <c r="C9">
        <f t="shared" ref="C9:K9" si="1">SUM(C4:C7)</f>
        <v>1400</v>
      </c>
      <c r="D9">
        <f t="shared" si="1"/>
        <v>1400</v>
      </c>
      <c r="E9">
        <f t="shared" si="1"/>
        <v>1400</v>
      </c>
      <c r="F9">
        <f t="shared" si="1"/>
        <v>1400</v>
      </c>
      <c r="G9">
        <f t="shared" si="1"/>
        <v>1400</v>
      </c>
      <c r="H9">
        <f t="shared" si="1"/>
        <v>1400</v>
      </c>
      <c r="I9">
        <f t="shared" si="1"/>
        <v>1400</v>
      </c>
      <c r="J9">
        <f t="shared" si="1"/>
        <v>932.40000000000009</v>
      </c>
      <c r="K9">
        <f t="shared" si="1"/>
        <v>932.40000000000009</v>
      </c>
    </row>
    <row r="11" spans="1:11" x14ac:dyDescent="0.2">
      <c r="A11" t="s">
        <v>18</v>
      </c>
      <c r="B11" s="7">
        <f>SUM(C11:N11)</f>
        <v>11091.630000000001</v>
      </c>
      <c r="C11" s="9">
        <f t="shared" ref="C11:K11" si="2">SUM(C13:C21)</f>
        <v>10792.630000000001</v>
      </c>
      <c r="D11" s="8">
        <f t="shared" si="2"/>
        <v>32</v>
      </c>
      <c r="E11" s="8">
        <f t="shared" si="2"/>
        <v>0</v>
      </c>
      <c r="F11" s="8">
        <f t="shared" si="2"/>
        <v>0</v>
      </c>
      <c r="G11" s="8">
        <f t="shared" si="2"/>
        <v>132</v>
      </c>
      <c r="H11" s="10">
        <f t="shared" si="2"/>
        <v>135</v>
      </c>
      <c r="I11" s="10">
        <f t="shared" si="2"/>
        <v>0</v>
      </c>
      <c r="J11" s="10">
        <f t="shared" si="2"/>
        <v>0</v>
      </c>
      <c r="K11" s="10">
        <f t="shared" si="2"/>
        <v>0</v>
      </c>
    </row>
    <row r="12" spans="1:11" x14ac:dyDescent="0.2">
      <c r="A12" t="s">
        <v>19</v>
      </c>
      <c r="C12" t="s">
        <v>20</v>
      </c>
      <c r="E12" s="13" t="s">
        <v>21</v>
      </c>
      <c r="F12">
        <v>1.34</v>
      </c>
      <c r="G12" t="s">
        <v>22</v>
      </c>
    </row>
    <row r="13" spans="1:11" x14ac:dyDescent="0.2">
      <c r="B13" t="s">
        <v>23</v>
      </c>
      <c r="C13">
        <v>2653.15</v>
      </c>
      <c r="D13">
        <v>32</v>
      </c>
      <c r="G13">
        <v>132</v>
      </c>
      <c r="H13">
        <v>117</v>
      </c>
    </row>
    <row r="14" spans="1:11" x14ac:dyDescent="0.2">
      <c r="C14">
        <v>7095.92</v>
      </c>
      <c r="G14">
        <v>0</v>
      </c>
      <c r="H14" s="7">
        <v>18</v>
      </c>
    </row>
    <row r="15" spans="1:11" x14ac:dyDescent="0.2">
      <c r="C15">
        <v>277.2</v>
      </c>
      <c r="I15" s="7"/>
    </row>
    <row r="16" spans="1:11" x14ac:dyDescent="0.2">
      <c r="C16">
        <v>591.36</v>
      </c>
      <c r="J16" s="8"/>
      <c r="K16" s="8"/>
    </row>
    <row r="18" spans="1:12" x14ac:dyDescent="0.2">
      <c r="C18">
        <v>175</v>
      </c>
    </row>
    <row r="22" spans="1:12" x14ac:dyDescent="0.2">
      <c r="A22" t="s">
        <v>24</v>
      </c>
      <c r="B22" s="4" t="s">
        <v>25</v>
      </c>
    </row>
    <row r="23" spans="1:12" x14ac:dyDescent="0.2">
      <c r="A23" t="s">
        <v>26</v>
      </c>
      <c r="B23">
        <f>SUM(C9:K9)</f>
        <v>11664.8</v>
      </c>
      <c r="D23" t="s">
        <v>27</v>
      </c>
      <c r="E23" t="s">
        <v>28</v>
      </c>
    </row>
    <row r="24" spans="1:12" x14ac:dyDescent="0.2">
      <c r="A24" t="s">
        <v>29</v>
      </c>
      <c r="B24">
        <f>+B11</f>
        <v>11091.630000000001</v>
      </c>
      <c r="C24">
        <v>0</v>
      </c>
      <c r="D24" s="1">
        <f>B24/B8</f>
        <v>1331.2085933749399</v>
      </c>
      <c r="E24" s="12">
        <f>1400-D24</f>
        <v>68.791406625060063</v>
      </c>
    </row>
    <row r="25" spans="1:12" x14ac:dyDescent="0.2">
      <c r="A25" t="s">
        <v>30</v>
      </c>
      <c r="B25">
        <f>B23-B24</f>
        <v>573.16999999999825</v>
      </c>
      <c r="C25" s="32">
        <f t="shared" ref="C25:K25" si="3">C9+C11</f>
        <v>12192.630000000001</v>
      </c>
      <c r="D25">
        <f t="shared" si="3"/>
        <v>1432</v>
      </c>
      <c r="E25">
        <f t="shared" si="3"/>
        <v>1400</v>
      </c>
      <c r="F25">
        <f t="shared" si="3"/>
        <v>1400</v>
      </c>
      <c r="G25">
        <f t="shared" si="3"/>
        <v>1532</v>
      </c>
      <c r="H25">
        <f t="shared" si="3"/>
        <v>1535</v>
      </c>
      <c r="I25">
        <f t="shared" si="3"/>
        <v>1400</v>
      </c>
      <c r="J25">
        <f t="shared" si="3"/>
        <v>932.40000000000009</v>
      </c>
      <c r="K25">
        <f t="shared" si="3"/>
        <v>932.40000000000009</v>
      </c>
    </row>
    <row r="26" spans="1:12" x14ac:dyDescent="0.2">
      <c r="A26" s="14" t="s">
        <v>31</v>
      </c>
      <c r="B26" s="14"/>
      <c r="C26" s="15">
        <f>SUM(C9:K9)-(D24*(7+2*B6))</f>
        <v>573.16999999999825</v>
      </c>
      <c r="D26" s="15">
        <f t="shared" ref="D26:I26" si="4">D25-$D$24</f>
        <v>100.79140662506006</v>
      </c>
      <c r="E26" s="15">
        <f t="shared" si="4"/>
        <v>68.791406625060063</v>
      </c>
      <c r="F26" s="15">
        <f t="shared" si="4"/>
        <v>68.791406625060063</v>
      </c>
      <c r="G26" s="15">
        <f t="shared" si="4"/>
        <v>200.79140662506006</v>
      </c>
      <c r="H26" s="15">
        <f t="shared" si="4"/>
        <v>203.79140662506006</v>
      </c>
      <c r="I26" s="15">
        <f t="shared" si="4"/>
        <v>68.791406625060063</v>
      </c>
      <c r="J26" s="15">
        <f>J25-$D$24*B6</f>
        <v>45.815076812290044</v>
      </c>
      <c r="K26" s="15">
        <f>K25-$D$24*B6</f>
        <v>45.815076812290044</v>
      </c>
      <c r="L26" t="s">
        <v>32</v>
      </c>
    </row>
    <row r="27" spans="1:12" x14ac:dyDescent="0.2">
      <c r="A27" t="s">
        <v>33</v>
      </c>
      <c r="B27" s="12">
        <f>1400-D24</f>
        <v>68.791406625060063</v>
      </c>
      <c r="C27" s="12">
        <f>C26+D26+J26+K26</f>
        <v>765.59156024963841</v>
      </c>
      <c r="D27" s="12"/>
      <c r="E27" s="12">
        <f>E26+F26</f>
        <v>137.58281325012013</v>
      </c>
      <c r="F27" s="12"/>
      <c r="G27" s="12">
        <f>G26+H26</f>
        <v>404.58281325012013</v>
      </c>
      <c r="H27" s="12"/>
      <c r="I27" s="12">
        <f>I26</f>
        <v>68.791406625060063</v>
      </c>
      <c r="L27" t="s">
        <v>34</v>
      </c>
    </row>
    <row r="31" spans="1:12" x14ac:dyDescent="0.2">
      <c r="J31" s="1"/>
      <c r="K31" s="1"/>
    </row>
    <row r="32" spans="1:12" x14ac:dyDescent="0.2">
      <c r="A32" t="s">
        <v>35</v>
      </c>
      <c r="C32" s="11">
        <f>C34/B8</f>
        <v>1331.2085933749399</v>
      </c>
    </row>
    <row r="33" spans="1:11" x14ac:dyDescent="0.2">
      <c r="A33" t="s">
        <v>36</v>
      </c>
      <c r="C33" s="11">
        <f>B23</f>
        <v>11664.8</v>
      </c>
    </row>
    <row r="34" spans="1:11" x14ac:dyDescent="0.2">
      <c r="A34" t="s">
        <v>37</v>
      </c>
      <c r="C34" s="11">
        <f>B24</f>
        <v>11091.630000000001</v>
      </c>
      <c r="J34" s="12"/>
      <c r="K34" s="12"/>
    </row>
    <row r="37" spans="1:11" x14ac:dyDescent="0.2">
      <c r="A37" t="s">
        <v>38</v>
      </c>
    </row>
    <row r="39" spans="1:11" x14ac:dyDescent="0.2">
      <c r="C39" s="1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9"/>
  <sheetViews>
    <sheetView workbookViewId="0">
      <selection activeCell="H19" sqref="H19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7" width="8.42578125" bestFit="1" customWidth="1"/>
    <col min="8" max="8" width="10.7109375" customWidth="1"/>
  </cols>
  <sheetData>
    <row r="2" spans="1:9" x14ac:dyDescent="0.2">
      <c r="D2" t="s">
        <v>2</v>
      </c>
    </row>
    <row r="3" spans="1:9" x14ac:dyDescent="0.2">
      <c r="D3" t="s">
        <v>40</v>
      </c>
      <c r="H3" t="s">
        <v>40</v>
      </c>
      <c r="I3" t="s">
        <v>41</v>
      </c>
    </row>
    <row r="4" spans="1:9" x14ac:dyDescent="0.2">
      <c r="B4" t="s">
        <v>42</v>
      </c>
      <c r="D4">
        <v>1090</v>
      </c>
      <c r="G4" s="16"/>
      <c r="H4">
        <v>1090</v>
      </c>
      <c r="I4">
        <v>650</v>
      </c>
    </row>
    <row r="5" spans="1:9" x14ac:dyDescent="0.2">
      <c r="B5" t="s">
        <v>43</v>
      </c>
      <c r="D5">
        <f>+D4*7</f>
        <v>7630</v>
      </c>
      <c r="E5">
        <f>E4*$A26</f>
        <v>0</v>
      </c>
    </row>
    <row r="6" spans="1:9" x14ac:dyDescent="0.2">
      <c r="A6">
        <v>0.05</v>
      </c>
      <c r="B6" t="s">
        <v>44</v>
      </c>
      <c r="D6">
        <f>$A6*D5*-1</f>
        <v>-381.5</v>
      </c>
      <c r="E6">
        <f>$A6*E5*-1</f>
        <v>0</v>
      </c>
    </row>
    <row r="7" spans="1:9" x14ac:dyDescent="0.2">
      <c r="B7" t="s">
        <v>45</v>
      </c>
      <c r="D7">
        <f>+D4/2</f>
        <v>545</v>
      </c>
      <c r="E7">
        <f>$A7*E4</f>
        <v>0</v>
      </c>
    </row>
    <row r="8" spans="1:9" x14ac:dyDescent="0.2">
      <c r="B8" t="s">
        <v>46</v>
      </c>
      <c r="D8">
        <f>53*7</f>
        <v>371</v>
      </c>
    </row>
    <row r="9" spans="1:9" x14ac:dyDescent="0.2">
      <c r="B9" t="s">
        <v>47</v>
      </c>
      <c r="D9">
        <v>0</v>
      </c>
      <c r="E9">
        <v>0</v>
      </c>
    </row>
    <row r="10" spans="1:9" x14ac:dyDescent="0.2">
      <c r="B10" t="s">
        <v>48</v>
      </c>
      <c r="D10">
        <f>(+D5+D6)*0.15</f>
        <v>1087.2749999999999</v>
      </c>
      <c r="E10">
        <v>0</v>
      </c>
    </row>
    <row r="11" spans="1:9" x14ac:dyDescent="0.2">
      <c r="B11" t="s">
        <v>49</v>
      </c>
      <c r="D11">
        <v>0</v>
      </c>
    </row>
    <row r="12" spans="1:9" x14ac:dyDescent="0.2">
      <c r="B12" t="s">
        <v>50</v>
      </c>
      <c r="D12">
        <v>0</v>
      </c>
    </row>
    <row r="13" spans="1:9" x14ac:dyDescent="0.2">
      <c r="B13" t="s">
        <v>51</v>
      </c>
      <c r="D13">
        <f>25*7</f>
        <v>175</v>
      </c>
    </row>
    <row r="14" spans="1:9" x14ac:dyDescent="0.2">
      <c r="B14" t="s">
        <v>52</v>
      </c>
      <c r="D14" s="13" t="s">
        <v>53</v>
      </c>
      <c r="E14">
        <v>0</v>
      </c>
    </row>
    <row r="15" spans="1:9" x14ac:dyDescent="0.2">
      <c r="B15" t="s">
        <v>54</v>
      </c>
      <c r="D15">
        <v>0</v>
      </c>
      <c r="H15" t="s">
        <v>55</v>
      </c>
    </row>
    <row r="16" spans="1:9" x14ac:dyDescent="0.2">
      <c r="C16" t="s">
        <v>56</v>
      </c>
      <c r="D16" s="23">
        <f>SUM(D5:D15)</f>
        <v>9426.7749999999996</v>
      </c>
      <c r="E16" s="23">
        <f>SUM(E5:E15)</f>
        <v>0</v>
      </c>
      <c r="F16" s="23"/>
      <c r="G16" s="23"/>
      <c r="H16" s="23">
        <f>E16+D16+F16+G16</f>
        <v>9426.7749999999996</v>
      </c>
    </row>
    <row r="17" spans="1:10" x14ac:dyDescent="0.2">
      <c r="D17" s="23"/>
      <c r="E17" s="23"/>
      <c r="F17" s="23"/>
      <c r="G17" s="23"/>
      <c r="H17" s="23"/>
    </row>
    <row r="19" spans="1:10" x14ac:dyDescent="0.2">
      <c r="E19" t="s">
        <v>57</v>
      </c>
      <c r="H19" s="1">
        <f>H16/A24/A26</f>
        <v>117.8346875</v>
      </c>
      <c r="I19" s="1">
        <f>H19*2</f>
        <v>235.669375</v>
      </c>
      <c r="J19" t="s">
        <v>58</v>
      </c>
    </row>
    <row r="21" spans="1:10" x14ac:dyDescent="0.2">
      <c r="A21" s="17" t="s">
        <v>59</v>
      </c>
      <c r="B21" s="17"/>
      <c r="C21" s="17" t="s">
        <v>60</v>
      </c>
      <c r="D21" s="17">
        <v>10</v>
      </c>
      <c r="E21" s="17"/>
      <c r="F21" s="17"/>
      <c r="G21" s="1"/>
      <c r="H21" s="1"/>
      <c r="I21" s="1"/>
    </row>
    <row r="22" spans="1:10" x14ac:dyDescent="0.2">
      <c r="A22" s="17"/>
      <c r="B22" s="17"/>
      <c r="C22" s="17" t="s">
        <v>61</v>
      </c>
      <c r="D22" s="22">
        <f>D16/D21</f>
        <v>942.67750000000001</v>
      </c>
      <c r="E22" s="22"/>
      <c r="F22" s="22"/>
      <c r="G22" s="21"/>
      <c r="H22" s="1"/>
      <c r="I22" s="1"/>
    </row>
    <row r="23" spans="1:10" x14ac:dyDescent="0.2">
      <c r="A23" s="17"/>
      <c r="B23" s="17"/>
      <c r="C23" s="17"/>
      <c r="D23" s="17"/>
      <c r="E23" s="17"/>
      <c r="F23" s="17"/>
      <c r="G23" s="21"/>
      <c r="H23" s="1"/>
      <c r="I23" s="1"/>
    </row>
    <row r="24" spans="1:10" x14ac:dyDescent="0.2">
      <c r="A24" s="18">
        <v>10</v>
      </c>
      <c r="B24" s="18" t="s">
        <v>62</v>
      </c>
      <c r="C24" s="18"/>
      <c r="D24" s="18"/>
      <c r="E24" s="18"/>
      <c r="F24" s="18"/>
      <c r="G24" s="18"/>
      <c r="H24" s="18"/>
    </row>
    <row r="25" spans="1:10" x14ac:dyDescent="0.2">
      <c r="A25" s="18">
        <v>0</v>
      </c>
      <c r="B25" s="18" t="s">
        <v>63</v>
      </c>
      <c r="C25" s="18"/>
      <c r="D25" s="18"/>
      <c r="E25" s="18"/>
      <c r="F25" s="18"/>
      <c r="G25" s="18"/>
      <c r="H25" s="18"/>
    </row>
    <row r="26" spans="1:10" x14ac:dyDescent="0.2">
      <c r="A26" s="18">
        <v>8</v>
      </c>
      <c r="B26" s="18" t="s">
        <v>64</v>
      </c>
      <c r="C26" s="18"/>
      <c r="D26" s="18"/>
      <c r="E26" s="18"/>
      <c r="F26" s="18"/>
      <c r="G26" s="18"/>
      <c r="H26" s="18"/>
    </row>
    <row r="27" spans="1:10" x14ac:dyDescent="0.2">
      <c r="A27" s="18"/>
      <c r="B27" s="18"/>
      <c r="C27" s="18"/>
      <c r="D27" s="18"/>
      <c r="E27" s="18"/>
      <c r="F27" s="18"/>
      <c r="G27" s="18"/>
      <c r="H27" s="18"/>
    </row>
    <row r="28" spans="1:10" x14ac:dyDescent="0.2">
      <c r="A28" s="18"/>
      <c r="B28" s="18"/>
      <c r="C28" s="18"/>
      <c r="D28" s="18"/>
      <c r="E28" s="18"/>
      <c r="F28" s="18"/>
      <c r="G28" s="18" t="s">
        <v>65</v>
      </c>
      <c r="H28" s="18"/>
    </row>
    <row r="29" spans="1:10" x14ac:dyDescent="0.2">
      <c r="A29" s="18" t="s">
        <v>66</v>
      </c>
      <c r="B29" s="18"/>
      <c r="C29" s="19"/>
      <c r="D29" s="19"/>
      <c r="E29" s="18" t="s">
        <v>55</v>
      </c>
      <c r="F29" s="19"/>
      <c r="G29" s="19">
        <f>$H$16/$A$24</f>
        <v>942.67750000000001</v>
      </c>
      <c r="H29" s="19"/>
      <c r="I29" s="1"/>
    </row>
    <row r="30" spans="1:10" x14ac:dyDescent="0.2">
      <c r="A30" s="18" t="s">
        <v>67</v>
      </c>
      <c r="B30" s="18"/>
      <c r="C30" s="19" t="s">
        <v>68</v>
      </c>
      <c r="D30" s="19">
        <v>22</v>
      </c>
      <c r="E30" s="20"/>
      <c r="F30" s="19"/>
      <c r="G30" s="19">
        <f>D30*$A$26</f>
        <v>176</v>
      </c>
      <c r="H30" s="19"/>
      <c r="I30" s="1"/>
    </row>
    <row r="31" spans="1:10" x14ac:dyDescent="0.2">
      <c r="A31" s="18"/>
      <c r="B31" s="18" t="s">
        <v>69</v>
      </c>
      <c r="C31" s="19" t="s">
        <v>68</v>
      </c>
      <c r="D31" s="19">
        <v>0</v>
      </c>
      <c r="E31" s="18"/>
      <c r="F31" s="19"/>
      <c r="G31" s="19">
        <f>D31*$A$26</f>
        <v>0</v>
      </c>
      <c r="H31" s="19"/>
      <c r="I31" s="1"/>
    </row>
    <row r="32" spans="1:10" x14ac:dyDescent="0.2">
      <c r="A32" s="18"/>
      <c r="B32" s="18"/>
      <c r="C32" s="19"/>
      <c r="D32" s="19"/>
      <c r="E32" s="18"/>
      <c r="F32" s="19"/>
      <c r="G32" s="19"/>
      <c r="H32" s="19"/>
      <c r="I32" s="1"/>
    </row>
    <row r="33" spans="1:9" x14ac:dyDescent="0.2">
      <c r="A33" s="18" t="s">
        <v>70</v>
      </c>
      <c r="B33" s="18"/>
      <c r="C33" s="19" t="s">
        <v>71</v>
      </c>
      <c r="D33" s="19">
        <v>200</v>
      </c>
      <c r="E33" s="18"/>
      <c r="F33" s="19"/>
      <c r="G33" s="19">
        <f>D33</f>
        <v>200</v>
      </c>
      <c r="H33" s="19"/>
      <c r="I33" s="1"/>
    </row>
    <row r="34" spans="1:9" x14ac:dyDescent="0.2">
      <c r="A34" s="18" t="s">
        <v>72</v>
      </c>
      <c r="B34" s="18"/>
      <c r="C34" s="19"/>
      <c r="D34" s="19">
        <v>50</v>
      </c>
      <c r="E34" s="18"/>
      <c r="F34" s="19"/>
      <c r="G34" s="19">
        <f>D34</f>
        <v>50</v>
      </c>
      <c r="H34" s="19"/>
      <c r="I34" s="1"/>
    </row>
    <row r="35" spans="1:9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9" x14ac:dyDescent="0.2">
      <c r="A36" s="18"/>
      <c r="B36" s="18"/>
      <c r="C36" s="19"/>
      <c r="D36" s="19"/>
      <c r="E36" s="18" t="s">
        <v>73</v>
      </c>
      <c r="F36" s="19"/>
      <c r="G36" s="19">
        <f>SUM(G29:G35)</f>
        <v>1368.6775</v>
      </c>
      <c r="H36" s="19"/>
      <c r="I36" s="1"/>
    </row>
    <row r="37" spans="1:9" x14ac:dyDescent="0.2">
      <c r="C37" s="1"/>
      <c r="D37" s="1"/>
      <c r="F37" s="1"/>
      <c r="G37" s="1"/>
      <c r="H37" s="1"/>
      <c r="I37" s="1"/>
    </row>
    <row r="38" spans="1:9" x14ac:dyDescent="0.2">
      <c r="C38" s="1"/>
      <c r="D38" s="1"/>
      <c r="E38" s="1"/>
      <c r="G38" s="1"/>
      <c r="H38" s="1"/>
      <c r="I38" s="1"/>
    </row>
    <row r="39" spans="1:9" x14ac:dyDescent="0.2">
      <c r="C39" s="1"/>
      <c r="D39" s="1"/>
      <c r="E39" s="1"/>
      <c r="G39" s="23"/>
      <c r="H39" s="1"/>
      <c r="I39" s="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workbookViewId="0">
      <pane ySplit="825" activePane="bottomLeft"/>
      <selection activeCell="D21" sqref="D21"/>
      <selection pane="bottomLeft"/>
    </sheetView>
  </sheetViews>
  <sheetFormatPr defaultColWidth="8.42578125" defaultRowHeight="12.75" x14ac:dyDescent="0.2"/>
  <cols>
    <col min="1" max="1" width="11" customWidth="1"/>
    <col min="2" max="2" width="11.28515625" customWidth="1"/>
    <col min="3" max="3" width="8.42578125" bestFit="1" customWidth="1"/>
    <col min="4" max="6" width="11.42578125" bestFit="1" customWidth="1"/>
    <col min="7" max="7" width="8.42578125" bestFit="1" customWidth="1"/>
    <col min="8" max="8" width="12.85546875" customWidth="1"/>
  </cols>
  <sheetData>
    <row r="1" spans="1:14" x14ac:dyDescent="0.2">
      <c r="A1" t="s">
        <v>74</v>
      </c>
    </row>
    <row r="2" spans="1:14" x14ac:dyDescent="0.2">
      <c r="A2" t="s">
        <v>1</v>
      </c>
      <c r="C2" t="s">
        <v>2</v>
      </c>
      <c r="D2" t="s">
        <v>3</v>
      </c>
      <c r="E2" t="s">
        <v>75</v>
      </c>
      <c r="F2" t="s">
        <v>76</v>
      </c>
      <c r="G2" t="s">
        <v>77</v>
      </c>
      <c r="H2" t="s">
        <v>78</v>
      </c>
      <c r="I2" t="s">
        <v>9</v>
      </c>
      <c r="J2" t="s">
        <v>10</v>
      </c>
    </row>
    <row r="3" spans="1:14" x14ac:dyDescent="0.2">
      <c r="B3" t="s">
        <v>11</v>
      </c>
      <c r="C3" s="5"/>
      <c r="D3" s="5"/>
      <c r="E3" s="5"/>
      <c r="F3" s="5"/>
      <c r="G3" s="5"/>
      <c r="H3" s="5"/>
      <c r="I3" s="5"/>
    </row>
    <row r="4" spans="1:14" x14ac:dyDescent="0.2">
      <c r="B4" t="s">
        <v>12</v>
      </c>
      <c r="C4">
        <v>1100</v>
      </c>
      <c r="D4">
        <v>1100</v>
      </c>
      <c r="E4">
        <v>1100</v>
      </c>
      <c r="F4">
        <v>1100</v>
      </c>
      <c r="G4">
        <v>1100</v>
      </c>
      <c r="H4">
        <v>1100</v>
      </c>
      <c r="I4">
        <v>500</v>
      </c>
      <c r="J4">
        <v>500</v>
      </c>
      <c r="L4">
        <f>4200/7/2</f>
        <v>300</v>
      </c>
    </row>
    <row r="5" spans="1:14" x14ac:dyDescent="0.2">
      <c r="B5" t="s">
        <v>13</v>
      </c>
      <c r="L5">
        <f>1100-200-600</f>
        <v>300</v>
      </c>
    </row>
    <row r="9" spans="1:14" x14ac:dyDescent="0.2">
      <c r="A9" t="s">
        <v>17</v>
      </c>
      <c r="C9">
        <f t="shared" ref="C9:J9" si="0">SUM(C4:C8)</f>
        <v>1100</v>
      </c>
      <c r="D9">
        <f t="shared" si="0"/>
        <v>1100</v>
      </c>
      <c r="E9">
        <f t="shared" si="0"/>
        <v>1100</v>
      </c>
      <c r="F9">
        <f t="shared" si="0"/>
        <v>1100</v>
      </c>
      <c r="G9">
        <f t="shared" si="0"/>
        <v>1100</v>
      </c>
      <c r="H9">
        <f t="shared" si="0"/>
        <v>1100</v>
      </c>
      <c r="I9">
        <f t="shared" si="0"/>
        <v>500</v>
      </c>
      <c r="J9">
        <f t="shared" si="0"/>
        <v>500</v>
      </c>
    </row>
    <row r="11" spans="1:14" x14ac:dyDescent="0.2">
      <c r="A11" t="s">
        <v>18</v>
      </c>
      <c r="B11" s="7">
        <f>SUM(C11:M11)</f>
        <v>6789.5554128440363</v>
      </c>
      <c r="C11" s="8">
        <f t="shared" ref="C11:J11" si="1">SUM(C13:C21)</f>
        <v>4504.0599999999995</v>
      </c>
      <c r="D11" s="8">
        <f t="shared" si="1"/>
        <v>1106.9633027522934</v>
      </c>
      <c r="E11" s="8">
        <f t="shared" si="1"/>
        <v>955.04587155963304</v>
      </c>
      <c r="F11" s="8">
        <f t="shared" si="1"/>
        <v>55.045871559633021</v>
      </c>
      <c r="G11" s="8">
        <f t="shared" si="1"/>
        <v>55.045871559633021</v>
      </c>
      <c r="H11" s="10">
        <f t="shared" si="1"/>
        <v>113.39449541284402</v>
      </c>
      <c r="I11" s="10">
        <f t="shared" si="1"/>
        <v>0</v>
      </c>
      <c r="J11" s="10">
        <f t="shared" si="1"/>
        <v>0</v>
      </c>
      <c r="M11" t="s">
        <v>79</v>
      </c>
    </row>
    <row r="12" spans="1:14" x14ac:dyDescent="0.2">
      <c r="A12" t="s">
        <v>19</v>
      </c>
      <c r="C12" t="s">
        <v>20</v>
      </c>
      <c r="E12" s="13" t="s">
        <v>21</v>
      </c>
      <c r="F12">
        <f>N12</f>
        <v>1.329715266558966</v>
      </c>
      <c r="G12" t="s">
        <v>22</v>
      </c>
      <c r="M12" t="s">
        <v>80</v>
      </c>
      <c r="N12">
        <f>263.39/198.08</f>
        <v>1.329715266558966</v>
      </c>
    </row>
    <row r="13" spans="1:14" x14ac:dyDescent="0.2">
      <c r="B13" t="s">
        <v>23</v>
      </c>
      <c r="C13">
        <v>3361.06</v>
      </c>
      <c r="D13">
        <f>400*kr</f>
        <v>73.394495412844023</v>
      </c>
      <c r="E13">
        <f>440*kr</f>
        <v>80.733944954128432</v>
      </c>
      <c r="F13">
        <f>300*kr</f>
        <v>55.045871559633021</v>
      </c>
      <c r="G13">
        <f>300*kr</f>
        <v>55.045871559633021</v>
      </c>
      <c r="H13">
        <f>13*kr</f>
        <v>2.3853211009174311</v>
      </c>
      <c r="M13" t="s">
        <v>81</v>
      </c>
      <c r="N13">
        <f>252.06/677.6</f>
        <v>0.37198937426210155</v>
      </c>
    </row>
    <row r="14" spans="1:14" x14ac:dyDescent="0.2">
      <c r="C14">
        <v>931</v>
      </c>
      <c r="D14">
        <v>11</v>
      </c>
      <c r="E14">
        <f>1300*kr</f>
        <v>238.53211009174311</v>
      </c>
      <c r="H14">
        <f>546*kr</f>
        <v>100.1834862385321</v>
      </c>
      <c r="M14" t="s">
        <v>82</v>
      </c>
      <c r="N14" s="34">
        <f>1/5.45</f>
        <v>0.18348623853211007</v>
      </c>
    </row>
    <row r="15" spans="1:14" x14ac:dyDescent="0.2">
      <c r="C15">
        <v>212</v>
      </c>
      <c r="D15">
        <f>708*kr</f>
        <v>129.90825688073394</v>
      </c>
      <c r="E15">
        <f>755*kr</f>
        <v>138.53211009174311</v>
      </c>
      <c r="H15">
        <f>59*kr</f>
        <v>10.825688073394494</v>
      </c>
      <c r="I15" s="7"/>
    </row>
    <row r="16" spans="1:14" x14ac:dyDescent="0.2">
      <c r="D16">
        <f>452*kr</f>
        <v>82.935779816513758</v>
      </c>
      <c r="E16">
        <f>460*kr</f>
        <v>84.403669724770637</v>
      </c>
      <c r="J16" s="8"/>
    </row>
    <row r="17" spans="1:11" x14ac:dyDescent="0.2">
      <c r="D17">
        <f>3713*kr</f>
        <v>681.28440366972472</v>
      </c>
      <c r="E17">
        <f>1300*kr</f>
        <v>238.53211009174311</v>
      </c>
    </row>
    <row r="18" spans="1:11" x14ac:dyDescent="0.2">
      <c r="D18">
        <f>700*kr</f>
        <v>128.44036697247705</v>
      </c>
      <c r="E18">
        <f>950*kr</f>
        <v>174.31192660550457</v>
      </c>
    </row>
    <row r="22" spans="1:11" x14ac:dyDescent="0.2">
      <c r="A22" t="s">
        <v>24</v>
      </c>
      <c r="B22" s="4" t="s">
        <v>25</v>
      </c>
      <c r="E22" t="s">
        <v>83</v>
      </c>
    </row>
    <row r="23" spans="1:11" x14ac:dyDescent="0.2">
      <c r="A23" t="s">
        <v>26</v>
      </c>
      <c r="B23">
        <f>1100*6+2*(500)</f>
        <v>7600</v>
      </c>
      <c r="D23" t="s">
        <v>65</v>
      </c>
      <c r="E23" t="s">
        <v>84</v>
      </c>
    </row>
    <row r="24" spans="1:11" x14ac:dyDescent="0.2">
      <c r="A24" t="s">
        <v>29</v>
      </c>
      <c r="B24">
        <f>+B11</f>
        <v>6789.5554128440363</v>
      </c>
      <c r="C24" t="s">
        <v>85</v>
      </c>
      <c r="D24" s="1">
        <f>B24*6600/7600/6</f>
        <v>982.69880975374224</v>
      </c>
      <c r="E24" s="1">
        <f>B24*1000/7600/2</f>
        <v>446.68127716079186</v>
      </c>
    </row>
    <row r="25" spans="1:11" x14ac:dyDescent="0.2">
      <c r="A25" t="s">
        <v>86</v>
      </c>
      <c r="B25">
        <f>B23-B24</f>
        <v>810.44458715596375</v>
      </c>
      <c r="C25">
        <f>C9+C11-B23</f>
        <v>-1995.9400000000005</v>
      </c>
      <c r="D25">
        <f t="shared" ref="D25:J25" si="2">D9+D11</f>
        <v>2206.9633027522932</v>
      </c>
      <c r="E25">
        <f t="shared" si="2"/>
        <v>2055.0458715596333</v>
      </c>
      <c r="F25">
        <f t="shared" si="2"/>
        <v>1155.045871559633</v>
      </c>
      <c r="G25">
        <f t="shared" si="2"/>
        <v>1155.045871559633</v>
      </c>
      <c r="H25">
        <f t="shared" si="2"/>
        <v>1213.394495412844</v>
      </c>
      <c r="I25">
        <f t="shared" si="2"/>
        <v>500</v>
      </c>
      <c r="J25">
        <f t="shared" si="2"/>
        <v>500</v>
      </c>
    </row>
    <row r="26" spans="1:11" x14ac:dyDescent="0.2">
      <c r="A26" s="14" t="s">
        <v>31</v>
      </c>
      <c r="B26" s="14"/>
      <c r="C26" s="15">
        <f t="shared" ref="C26:H26" si="3">C25-$D$24</f>
        <v>-2978.6388097537429</v>
      </c>
      <c r="D26" s="15">
        <f t="shared" si="3"/>
        <v>1224.2644929985508</v>
      </c>
      <c r="E26" s="15">
        <f t="shared" si="3"/>
        <v>1072.3470618058909</v>
      </c>
      <c r="F26" s="15">
        <f t="shared" si="3"/>
        <v>172.3470618058908</v>
      </c>
      <c r="G26" s="15">
        <f t="shared" si="3"/>
        <v>172.3470618058908</v>
      </c>
      <c r="H26" s="15">
        <f t="shared" si="3"/>
        <v>230.69568565910174</v>
      </c>
      <c r="I26" s="15">
        <f>I25-$E$24</f>
        <v>53.318722839208135</v>
      </c>
      <c r="J26" s="15">
        <f>J25-$E$24</f>
        <v>53.318722839208135</v>
      </c>
      <c r="K26" t="s">
        <v>32</v>
      </c>
    </row>
    <row r="27" spans="1:11" x14ac:dyDescent="0.2">
      <c r="A27" t="s">
        <v>33</v>
      </c>
      <c r="B27" s="12">
        <f>1100-D24</f>
        <v>117.30119024625776</v>
      </c>
      <c r="C27" s="12">
        <f>C26+D26</f>
        <v>-1754.374316755192</v>
      </c>
      <c r="D27" s="12"/>
      <c r="E27" s="12">
        <f>E26+F26</f>
        <v>1244.6941236117818</v>
      </c>
      <c r="F27" s="12"/>
      <c r="G27" s="12">
        <f>G26+H26</f>
        <v>403.04274746499254</v>
      </c>
      <c r="H27" s="12"/>
      <c r="I27" s="12">
        <f>I26+J26</f>
        <v>106.63744567841627</v>
      </c>
      <c r="K27" t="s">
        <v>34</v>
      </c>
    </row>
    <row r="28" spans="1:11" x14ac:dyDescent="0.2">
      <c r="G28" t="s">
        <v>87</v>
      </c>
    </row>
    <row r="30" spans="1:11" x14ac:dyDescent="0.2">
      <c r="A30" t="s">
        <v>11</v>
      </c>
    </row>
    <row r="31" spans="1:11" x14ac:dyDescent="0.2">
      <c r="A31" t="s">
        <v>88</v>
      </c>
      <c r="C31" t="s">
        <v>89</v>
      </c>
      <c r="D31" t="s">
        <v>90</v>
      </c>
      <c r="F31" t="s">
        <v>91</v>
      </c>
      <c r="G31" t="s">
        <v>89</v>
      </c>
      <c r="H31" t="s">
        <v>90</v>
      </c>
      <c r="J31" s="1"/>
    </row>
    <row r="32" spans="1:11" x14ac:dyDescent="0.2">
      <c r="A32" t="s">
        <v>35</v>
      </c>
      <c r="C32" s="11">
        <f>D24</f>
        <v>982.69880975374224</v>
      </c>
      <c r="F32" t="s">
        <v>92</v>
      </c>
      <c r="G32">
        <v>613</v>
      </c>
      <c r="H32">
        <v>306.5</v>
      </c>
    </row>
    <row r="33" spans="1:10" x14ac:dyDescent="0.2">
      <c r="A33" t="s">
        <v>36</v>
      </c>
      <c r="C33" s="11">
        <f>B23</f>
        <v>7600</v>
      </c>
      <c r="F33" t="s">
        <v>93</v>
      </c>
      <c r="G33">
        <v>200</v>
      </c>
      <c r="H33">
        <v>50</v>
      </c>
    </row>
    <row r="34" spans="1:10" x14ac:dyDescent="0.2">
      <c r="A34" t="s">
        <v>37</v>
      </c>
      <c r="C34" s="11">
        <f>B24</f>
        <v>6789.5554128440363</v>
      </c>
      <c r="F34" t="s">
        <v>94</v>
      </c>
      <c r="G34">
        <f>1100-813</f>
        <v>287</v>
      </c>
      <c r="H34">
        <f>G34/2</f>
        <v>143.5</v>
      </c>
      <c r="J34" s="12"/>
    </row>
    <row r="35" spans="1:10" x14ac:dyDescent="0.2">
      <c r="F35" t="s">
        <v>95</v>
      </c>
      <c r="G35">
        <f>SUM(G32:G34)</f>
        <v>1100</v>
      </c>
      <c r="H35">
        <f>SUM(H32:H34)</f>
        <v>500</v>
      </c>
    </row>
    <row r="37" spans="1:10" x14ac:dyDescent="0.2">
      <c r="A37" t="s">
        <v>38</v>
      </c>
    </row>
    <row r="39" spans="1:10" x14ac:dyDescent="0.2">
      <c r="C39" s="1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>
      <selection activeCell="J31" sqref="J31"/>
    </sheetView>
  </sheetViews>
  <sheetFormatPr defaultColWidth="8.42578125" defaultRowHeight="12.75" x14ac:dyDescent="0.2"/>
  <cols>
    <col min="1" max="1" width="8.42578125" bestFit="1" customWidth="1"/>
    <col min="2" max="2" width="11.28515625" customWidth="1"/>
  </cols>
  <sheetData>
    <row r="1" spans="1:14" x14ac:dyDescent="0.2">
      <c r="A1" t="s">
        <v>0</v>
      </c>
    </row>
    <row r="2" spans="1:14" x14ac:dyDescent="0.2">
      <c r="A2" t="s">
        <v>1</v>
      </c>
      <c r="C2" t="s">
        <v>2</v>
      </c>
      <c r="D2" t="s">
        <v>3</v>
      </c>
      <c r="E2" t="s">
        <v>75</v>
      </c>
      <c r="F2" t="s">
        <v>76</v>
      </c>
      <c r="G2" t="s">
        <v>96</v>
      </c>
      <c r="H2" t="s">
        <v>97</v>
      </c>
      <c r="I2" t="s">
        <v>77</v>
      </c>
      <c r="J2" t="s">
        <v>78</v>
      </c>
    </row>
    <row r="3" spans="1:14" x14ac:dyDescent="0.2">
      <c r="B3" t="s">
        <v>11</v>
      </c>
      <c r="C3" s="5"/>
      <c r="D3" s="5"/>
      <c r="E3" s="5"/>
      <c r="F3" s="5"/>
      <c r="G3" s="5"/>
      <c r="H3" s="5"/>
      <c r="I3" s="5"/>
    </row>
    <row r="4" spans="1:14" x14ac:dyDescent="0.2">
      <c r="B4" t="s">
        <v>12</v>
      </c>
      <c r="C4">
        <v>1400</v>
      </c>
      <c r="D4">
        <v>1400</v>
      </c>
      <c r="E4">
        <v>1400</v>
      </c>
      <c r="F4">
        <v>1400</v>
      </c>
      <c r="G4">
        <v>1400</v>
      </c>
      <c r="H4">
        <v>1400</v>
      </c>
      <c r="I4">
        <v>1400</v>
      </c>
      <c r="J4">
        <v>1400</v>
      </c>
    </row>
    <row r="5" spans="1:14" x14ac:dyDescent="0.2">
      <c r="B5" t="s">
        <v>13</v>
      </c>
    </row>
    <row r="8" spans="1:14" x14ac:dyDescent="0.2">
      <c r="A8" t="s">
        <v>17</v>
      </c>
      <c r="C8">
        <f t="shared" ref="C8:J8" si="0">SUM(C4:C7)</f>
        <v>1400</v>
      </c>
      <c r="D8">
        <f t="shared" si="0"/>
        <v>1400</v>
      </c>
      <c r="E8">
        <f t="shared" si="0"/>
        <v>1400</v>
      </c>
      <c r="F8">
        <f t="shared" si="0"/>
        <v>1400</v>
      </c>
      <c r="G8">
        <f t="shared" si="0"/>
        <v>1400</v>
      </c>
      <c r="H8">
        <f t="shared" si="0"/>
        <v>1400</v>
      </c>
      <c r="I8">
        <f t="shared" si="0"/>
        <v>1400</v>
      </c>
      <c r="J8">
        <f t="shared" si="0"/>
        <v>1400</v>
      </c>
    </row>
    <row r="10" spans="1:14" x14ac:dyDescent="0.2">
      <c r="A10" t="s">
        <v>18</v>
      </c>
      <c r="B10" s="7">
        <f>SUM(C10:M10)</f>
        <v>11709.653790609447</v>
      </c>
      <c r="C10" s="9">
        <f t="shared" ref="C10:J10" si="1">SUM(C12:C20)</f>
        <v>10379.367768595041</v>
      </c>
      <c r="D10" s="8">
        <f t="shared" si="1"/>
        <v>1037.1299999999999</v>
      </c>
      <c r="E10" s="8">
        <f t="shared" si="1"/>
        <v>0</v>
      </c>
      <c r="F10" s="8">
        <f t="shared" si="1"/>
        <v>102.51829988193624</v>
      </c>
      <c r="G10" s="8">
        <f t="shared" si="1"/>
        <v>75</v>
      </c>
      <c r="H10" s="10">
        <f t="shared" si="1"/>
        <v>0</v>
      </c>
      <c r="I10" s="10">
        <f t="shared" si="1"/>
        <v>115.63772213247174</v>
      </c>
      <c r="J10" s="10">
        <f t="shared" si="1"/>
        <v>0</v>
      </c>
      <c r="M10" t="s">
        <v>79</v>
      </c>
    </row>
    <row r="11" spans="1:14" x14ac:dyDescent="0.2">
      <c r="A11" t="s">
        <v>19</v>
      </c>
      <c r="C11" t="s">
        <v>20</v>
      </c>
      <c r="E11" s="13" t="s">
        <v>21</v>
      </c>
      <c r="F11">
        <v>1.34</v>
      </c>
      <c r="G11" t="s">
        <v>22</v>
      </c>
      <c r="M11" t="s">
        <v>80</v>
      </c>
      <c r="N11">
        <f>263.39/198.08</f>
        <v>1.329715266558966</v>
      </c>
    </row>
    <row r="12" spans="1:14" x14ac:dyDescent="0.2">
      <c r="B12" t="s">
        <v>23</v>
      </c>
      <c r="C12">
        <f>9095.25-1344</f>
        <v>7751.25</v>
      </c>
      <c r="D12">
        <v>12</v>
      </c>
      <c r="F12">
        <f>40*N12</f>
        <v>14.879574970484061</v>
      </c>
      <c r="G12">
        <v>75</v>
      </c>
      <c r="I12">
        <v>25</v>
      </c>
      <c r="M12" t="s">
        <v>81</v>
      </c>
      <c r="N12">
        <f>252.06/677.6</f>
        <v>0.37198937426210155</v>
      </c>
    </row>
    <row r="13" spans="1:14" x14ac:dyDescent="0.2">
      <c r="C13">
        <v>1344</v>
      </c>
      <c r="D13">
        <v>26</v>
      </c>
      <c r="F13">
        <f>15+8+20</f>
        <v>43</v>
      </c>
      <c r="H13" s="7"/>
      <c r="I13">
        <f>8*N11</f>
        <v>10.637722132471728</v>
      </c>
    </row>
    <row r="14" spans="1:14" x14ac:dyDescent="0.2">
      <c r="C14">
        <v>1153</v>
      </c>
      <c r="D14">
        <v>100</v>
      </c>
      <c r="F14">
        <f>120*N12</f>
        <v>44.638724911452186</v>
      </c>
      <c r="I14" s="7">
        <v>80</v>
      </c>
    </row>
    <row r="15" spans="1:14" x14ac:dyDescent="0.2">
      <c r="C15">
        <v>13</v>
      </c>
      <c r="D15">
        <v>201.4</v>
      </c>
      <c r="J15" s="8"/>
    </row>
    <row r="16" spans="1:14" x14ac:dyDescent="0.2">
      <c r="C16">
        <v>25</v>
      </c>
      <c r="D16">
        <v>263.39</v>
      </c>
    </row>
    <row r="17" spans="1:15" x14ac:dyDescent="0.2">
      <c r="C17">
        <f>50*N12</f>
        <v>18.599468713105079</v>
      </c>
      <c r="D17">
        <v>182.28</v>
      </c>
    </row>
    <row r="18" spans="1:15" x14ac:dyDescent="0.2">
      <c r="C18">
        <f>160*N12</f>
        <v>59.518299881936244</v>
      </c>
      <c r="D18">
        <v>252.06</v>
      </c>
      <c r="L18" t="s">
        <v>98</v>
      </c>
      <c r="O18">
        <f>50*N11</f>
        <v>66.485763327948305</v>
      </c>
    </row>
    <row r="19" spans="1:15" x14ac:dyDescent="0.2">
      <c r="C19">
        <v>15</v>
      </c>
    </row>
    <row r="21" spans="1:15" x14ac:dyDescent="0.2">
      <c r="A21" t="s">
        <v>24</v>
      </c>
      <c r="B21" s="4" t="s">
        <v>25</v>
      </c>
    </row>
    <row r="22" spans="1:15" x14ac:dyDescent="0.2">
      <c r="A22" t="s">
        <v>26</v>
      </c>
      <c r="B22">
        <f>1400*8</f>
        <v>11200</v>
      </c>
      <c r="D22" t="s">
        <v>27</v>
      </c>
      <c r="E22" t="s">
        <v>28</v>
      </c>
    </row>
    <row r="23" spans="1:15" x14ac:dyDescent="0.2">
      <c r="A23" t="s">
        <v>29</v>
      </c>
      <c r="B23">
        <f>+B10</f>
        <v>11709.653790609447</v>
      </c>
      <c r="C23" t="s">
        <v>85</v>
      </c>
      <c r="D23" s="1">
        <f>B23/8</f>
        <v>1463.7067238261809</v>
      </c>
      <c r="E23" s="12">
        <f>1400-D23</f>
        <v>-63.706723826180905</v>
      </c>
    </row>
    <row r="24" spans="1:15" x14ac:dyDescent="0.2">
      <c r="A24" t="s">
        <v>30</v>
      </c>
      <c r="B24">
        <f>B22-B23</f>
        <v>-509.65379060944724</v>
      </c>
      <c r="C24">
        <f t="shared" ref="C24:J24" si="2">C8+C10</f>
        <v>11779.367768595041</v>
      </c>
      <c r="D24">
        <f t="shared" si="2"/>
        <v>2437.13</v>
      </c>
      <c r="E24">
        <f t="shared" si="2"/>
        <v>1400</v>
      </c>
      <c r="F24">
        <f t="shared" si="2"/>
        <v>1502.5182998819362</v>
      </c>
      <c r="G24">
        <f t="shared" si="2"/>
        <v>1475</v>
      </c>
      <c r="H24">
        <f t="shared" si="2"/>
        <v>1400</v>
      </c>
      <c r="I24">
        <f t="shared" si="2"/>
        <v>1515.6377221324717</v>
      </c>
      <c r="J24">
        <f t="shared" si="2"/>
        <v>1400</v>
      </c>
    </row>
    <row r="25" spans="1:15" x14ac:dyDescent="0.2">
      <c r="A25" s="14" t="s">
        <v>31</v>
      </c>
      <c r="B25" s="14"/>
      <c r="C25" s="15">
        <f>C24-(7*1400)</f>
        <v>1979.3677685950406</v>
      </c>
      <c r="D25" s="15">
        <f t="shared" ref="D25:J25" si="3">D24-$D$23</f>
        <v>973.4232761738192</v>
      </c>
      <c r="E25" s="15">
        <f t="shared" si="3"/>
        <v>-63.706723826180905</v>
      </c>
      <c r="F25" s="15">
        <f t="shared" si="3"/>
        <v>38.811576055755268</v>
      </c>
      <c r="G25" s="15">
        <f t="shared" si="3"/>
        <v>11.293276173819095</v>
      </c>
      <c r="H25" s="15">
        <f t="shared" si="3"/>
        <v>-63.706723826180905</v>
      </c>
      <c r="I25" s="15">
        <f t="shared" si="3"/>
        <v>51.930998306290803</v>
      </c>
      <c r="J25" s="15">
        <f t="shared" si="3"/>
        <v>-63.706723826180905</v>
      </c>
      <c r="K25" t="s">
        <v>32</v>
      </c>
    </row>
    <row r="26" spans="1:15" x14ac:dyDescent="0.2">
      <c r="A26" t="s">
        <v>33</v>
      </c>
      <c r="B26" s="12">
        <f>1400-D23</f>
        <v>-63.706723826180905</v>
      </c>
      <c r="C26" s="12">
        <f>C25+D25</f>
        <v>2952.79104476886</v>
      </c>
      <c r="D26" s="12"/>
      <c r="E26" s="12">
        <f>E25+F25</f>
        <v>-24.895147770425638</v>
      </c>
      <c r="F26" s="12"/>
      <c r="G26" s="12">
        <f>G25+H25</f>
        <v>-52.41344765236181</v>
      </c>
      <c r="H26" s="12"/>
      <c r="I26" s="12">
        <f>I25+J25</f>
        <v>-11.775725519890102</v>
      </c>
      <c r="K26" t="s">
        <v>34</v>
      </c>
    </row>
    <row r="29" spans="1:15" x14ac:dyDescent="0.2">
      <c r="A29" t="s">
        <v>11</v>
      </c>
      <c r="L29">
        <f>800+25-66.48</f>
        <v>758.52</v>
      </c>
    </row>
    <row r="30" spans="1:15" x14ac:dyDescent="0.2">
      <c r="A30" t="s">
        <v>88</v>
      </c>
      <c r="J30" s="1"/>
    </row>
    <row r="31" spans="1:15" x14ac:dyDescent="0.2">
      <c r="A31" t="s">
        <v>35</v>
      </c>
      <c r="C31" s="11">
        <f>C33/8</f>
        <v>1463.7067238261809</v>
      </c>
    </row>
    <row r="32" spans="1:15" x14ac:dyDescent="0.2">
      <c r="A32" t="s">
        <v>36</v>
      </c>
      <c r="C32" s="11">
        <f>B22</f>
        <v>11200</v>
      </c>
    </row>
    <row r="33" spans="1:10" x14ac:dyDescent="0.2">
      <c r="A33" t="s">
        <v>37</v>
      </c>
      <c r="C33" s="11">
        <f>B23</f>
        <v>11709.653790609447</v>
      </c>
      <c r="J33" s="12"/>
    </row>
    <row r="36" spans="1:10" x14ac:dyDescent="0.2">
      <c r="A36" t="s">
        <v>38</v>
      </c>
    </row>
    <row r="37" spans="1:10" x14ac:dyDescent="0.2">
      <c r="C37" t="s">
        <v>39</v>
      </c>
    </row>
    <row r="38" spans="1:10" x14ac:dyDescent="0.2">
      <c r="C38" s="1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7"/>
  <sheetViews>
    <sheetView workbookViewId="0">
      <selection sqref="A1:J39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6" width="10.5703125" bestFit="1" customWidth="1"/>
    <col min="7" max="7" width="11" customWidth="1"/>
    <col min="8" max="8" width="11.5703125" bestFit="1" customWidth="1"/>
    <col min="9" max="10" width="8.42578125" bestFit="1" customWidth="1"/>
    <col min="11" max="11" width="10.28515625" customWidth="1"/>
  </cols>
  <sheetData>
    <row r="2" spans="1:11" x14ac:dyDescent="0.2">
      <c r="D2" t="s">
        <v>2</v>
      </c>
    </row>
    <row r="3" spans="1:11" x14ac:dyDescent="0.2">
      <c r="D3" t="s">
        <v>99</v>
      </c>
    </row>
    <row r="4" spans="1:11" x14ac:dyDescent="0.2">
      <c r="B4" t="s">
        <v>42</v>
      </c>
      <c r="D4">
        <f>D5/7</f>
        <v>1150.7142857142858</v>
      </c>
      <c r="G4" s="16"/>
    </row>
    <row r="5" spans="1:11" x14ac:dyDescent="0.2">
      <c r="B5" t="s">
        <v>43</v>
      </c>
      <c r="D5">
        <v>8055</v>
      </c>
      <c r="E5">
        <f>E4*$A26</f>
        <v>0</v>
      </c>
    </row>
    <row r="6" spans="1:11" x14ac:dyDescent="0.2">
      <c r="A6">
        <v>0.05</v>
      </c>
      <c r="B6" t="s">
        <v>44</v>
      </c>
      <c r="D6">
        <f>$A6*D5*-1</f>
        <v>-402.75</v>
      </c>
      <c r="E6">
        <f>$A6*E5*-1</f>
        <v>0</v>
      </c>
      <c r="K6" s="13"/>
    </row>
    <row r="7" spans="1:11" x14ac:dyDescent="0.2">
      <c r="B7" t="s">
        <v>45</v>
      </c>
      <c r="D7">
        <v>595</v>
      </c>
      <c r="E7">
        <f>$A7*E4</f>
        <v>0</v>
      </c>
    </row>
    <row r="8" spans="1:11" x14ac:dyDescent="0.2">
      <c r="B8" t="s">
        <v>46</v>
      </c>
      <c r="D8">
        <v>304</v>
      </c>
    </row>
    <row r="9" spans="1:11" x14ac:dyDescent="0.2">
      <c r="B9" t="s">
        <v>47</v>
      </c>
      <c r="D9">
        <v>0</v>
      </c>
      <c r="E9">
        <v>0</v>
      </c>
      <c r="K9" s="13"/>
    </row>
    <row r="10" spans="1:11" x14ac:dyDescent="0.2">
      <c r="B10" t="s">
        <v>48</v>
      </c>
      <c r="D10">
        <v>200</v>
      </c>
      <c r="E10">
        <v>0</v>
      </c>
    </row>
    <row r="11" spans="1:11" x14ac:dyDescent="0.2">
      <c r="B11" t="s">
        <v>49</v>
      </c>
      <c r="D11">
        <v>-800</v>
      </c>
    </row>
    <row r="12" spans="1:11" x14ac:dyDescent="0.2">
      <c r="B12" t="s">
        <v>50</v>
      </c>
      <c r="D12">
        <v>0</v>
      </c>
    </row>
    <row r="13" spans="1:11" x14ac:dyDescent="0.2">
      <c r="B13" t="s">
        <v>51</v>
      </c>
      <c r="D13">
        <v>175</v>
      </c>
    </row>
    <row r="14" spans="1:11" x14ac:dyDescent="0.2">
      <c r="B14" t="s">
        <v>52</v>
      </c>
      <c r="D14" s="13" t="s">
        <v>53</v>
      </c>
      <c r="E14">
        <v>0</v>
      </c>
      <c r="K14" s="13"/>
    </row>
    <row r="15" spans="1:11" x14ac:dyDescent="0.2">
      <c r="B15" t="s">
        <v>54</v>
      </c>
      <c r="D15">
        <v>0</v>
      </c>
      <c r="H15" t="s">
        <v>55</v>
      </c>
    </row>
    <row r="16" spans="1:11" x14ac:dyDescent="0.2">
      <c r="C16" t="s">
        <v>56</v>
      </c>
      <c r="D16" s="23">
        <f>SUM(D5:D15)</f>
        <v>8126.25</v>
      </c>
      <c r="E16" s="23">
        <f>SUM(E5:E15)</f>
        <v>0</v>
      </c>
      <c r="F16" s="23"/>
      <c r="G16" s="23"/>
      <c r="H16" s="23">
        <f>E16+D16+F16+G16</f>
        <v>8126.25</v>
      </c>
      <c r="K16" s="23"/>
    </row>
    <row r="17" spans="1:11" x14ac:dyDescent="0.2">
      <c r="D17" s="23"/>
      <c r="E17" s="23"/>
      <c r="F17" s="23"/>
      <c r="G17" s="23"/>
      <c r="H17" s="23"/>
      <c r="K17" s="23"/>
    </row>
    <row r="19" spans="1:11" x14ac:dyDescent="0.2">
      <c r="E19" t="s">
        <v>57</v>
      </c>
      <c r="H19" s="1">
        <f>H16/A24/A26</f>
        <v>126.97265625</v>
      </c>
      <c r="I19" s="1">
        <f>H19*2</f>
        <v>253.9453125</v>
      </c>
      <c r="J19" t="s">
        <v>58</v>
      </c>
    </row>
    <row r="21" spans="1:11" x14ac:dyDescent="0.2">
      <c r="A21" s="17" t="s">
        <v>59</v>
      </c>
      <c r="B21" s="17"/>
      <c r="C21" s="17" t="s">
        <v>60</v>
      </c>
      <c r="D21" s="17">
        <v>8</v>
      </c>
      <c r="E21" s="17"/>
      <c r="F21" s="17"/>
      <c r="G21" s="1"/>
      <c r="H21" s="1"/>
      <c r="I21" s="1"/>
    </row>
    <row r="22" spans="1:11" x14ac:dyDescent="0.2">
      <c r="A22" s="17"/>
      <c r="B22" s="17"/>
      <c r="C22" s="17" t="s">
        <v>61</v>
      </c>
      <c r="D22" s="22">
        <f>D16/D21</f>
        <v>1015.78125</v>
      </c>
      <c r="E22" s="22"/>
      <c r="F22" s="22"/>
      <c r="G22" s="21"/>
      <c r="H22" s="1"/>
      <c r="I22" s="1"/>
    </row>
    <row r="23" spans="1:11" x14ac:dyDescent="0.2">
      <c r="A23" s="17"/>
      <c r="B23" s="17"/>
      <c r="C23" s="17"/>
      <c r="D23" s="17"/>
      <c r="E23" s="17"/>
      <c r="F23" s="17"/>
      <c r="G23" s="21"/>
      <c r="H23" s="1"/>
      <c r="I23" s="1"/>
    </row>
    <row r="24" spans="1:11" x14ac:dyDescent="0.2">
      <c r="A24" s="18">
        <v>8</v>
      </c>
      <c r="B24" s="18" t="s">
        <v>62</v>
      </c>
      <c r="C24" s="18"/>
      <c r="D24" s="18"/>
      <c r="E24" s="18"/>
      <c r="F24" s="18"/>
      <c r="G24" s="18"/>
      <c r="H24" s="18"/>
    </row>
    <row r="25" spans="1:11" x14ac:dyDescent="0.2">
      <c r="A25" s="18">
        <v>0</v>
      </c>
      <c r="B25" s="18" t="s">
        <v>63</v>
      </c>
      <c r="C25" s="18"/>
      <c r="D25" s="18"/>
      <c r="E25" s="18"/>
      <c r="F25" s="18"/>
      <c r="G25" s="18"/>
      <c r="H25" s="18"/>
    </row>
    <row r="26" spans="1:11" x14ac:dyDescent="0.2">
      <c r="A26" s="18">
        <v>8</v>
      </c>
      <c r="B26" s="18" t="s">
        <v>64</v>
      </c>
      <c r="C26" s="18"/>
      <c r="D26" s="18"/>
      <c r="E26" s="18"/>
      <c r="F26" s="18"/>
      <c r="G26" s="18"/>
      <c r="H26" s="18"/>
    </row>
    <row r="27" spans="1:11" x14ac:dyDescent="0.2">
      <c r="A27" s="18"/>
      <c r="B27" s="18"/>
      <c r="C27" s="18"/>
      <c r="D27" s="18"/>
      <c r="E27" s="18"/>
      <c r="F27" s="18"/>
      <c r="G27" s="18"/>
      <c r="H27" s="18"/>
    </row>
    <row r="28" spans="1:11" x14ac:dyDescent="0.2">
      <c r="A28" s="18"/>
      <c r="B28" s="18"/>
      <c r="C28" s="18"/>
      <c r="D28" s="18"/>
      <c r="E28" s="18"/>
      <c r="F28" s="18"/>
      <c r="G28" s="18" t="s">
        <v>65</v>
      </c>
      <c r="H28" s="18"/>
    </row>
    <row r="29" spans="1:11" x14ac:dyDescent="0.2">
      <c r="A29" s="18" t="s">
        <v>66</v>
      </c>
      <c r="B29" s="18"/>
      <c r="C29" s="19"/>
      <c r="D29" s="19"/>
      <c r="E29" s="18" t="s">
        <v>55</v>
      </c>
      <c r="F29" s="19"/>
      <c r="G29" s="19">
        <f>$H$16/$A$24</f>
        <v>1015.78125</v>
      </c>
      <c r="H29" s="19"/>
      <c r="I29" s="1"/>
    </row>
    <row r="30" spans="1:11" x14ac:dyDescent="0.2">
      <c r="A30" s="18" t="s">
        <v>67</v>
      </c>
      <c r="B30" s="18"/>
      <c r="C30" s="19" t="s">
        <v>68</v>
      </c>
      <c r="D30" s="19">
        <v>24</v>
      </c>
      <c r="E30" s="20"/>
      <c r="F30" s="19"/>
      <c r="G30" s="19">
        <f>D30*$A$26</f>
        <v>192</v>
      </c>
      <c r="H30" s="19"/>
      <c r="I30" s="1"/>
    </row>
    <row r="31" spans="1:11" x14ac:dyDescent="0.2">
      <c r="A31" s="18"/>
      <c r="B31" s="18" t="s">
        <v>69</v>
      </c>
      <c r="C31" s="19" t="s">
        <v>68</v>
      </c>
      <c r="D31" s="19">
        <v>0</v>
      </c>
      <c r="E31" s="18"/>
      <c r="F31" s="19"/>
      <c r="G31" s="19">
        <f>D31*$A$26</f>
        <v>0</v>
      </c>
      <c r="H31" s="19"/>
      <c r="I31" s="1"/>
    </row>
    <row r="32" spans="1:11" x14ac:dyDescent="0.2">
      <c r="A32" s="18"/>
      <c r="B32" s="18"/>
      <c r="C32" s="19"/>
      <c r="D32" s="19"/>
      <c r="E32" s="18"/>
      <c r="F32" s="19"/>
      <c r="G32" s="19"/>
      <c r="H32" s="19"/>
      <c r="I32" s="1"/>
    </row>
    <row r="33" spans="1:9" x14ac:dyDescent="0.2">
      <c r="A33" s="18" t="s">
        <v>70</v>
      </c>
      <c r="B33" s="18"/>
      <c r="C33" s="19" t="s">
        <v>71</v>
      </c>
      <c r="D33" s="19">
        <v>200</v>
      </c>
      <c r="E33" s="18"/>
      <c r="F33" s="19"/>
      <c r="G33" s="19">
        <f>D33</f>
        <v>200</v>
      </c>
      <c r="H33" s="19"/>
      <c r="I33" s="1"/>
    </row>
    <row r="34" spans="1:9" x14ac:dyDescent="0.2">
      <c r="A34" s="18" t="s">
        <v>72</v>
      </c>
      <c r="B34" s="18"/>
      <c r="C34" s="19"/>
      <c r="D34" s="19">
        <v>0</v>
      </c>
      <c r="E34" s="18"/>
      <c r="F34" s="19"/>
      <c r="G34" s="19">
        <v>0</v>
      </c>
      <c r="H34" s="19"/>
      <c r="I34" s="1"/>
    </row>
    <row r="35" spans="1:9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9" x14ac:dyDescent="0.2">
      <c r="A36" s="18"/>
      <c r="B36" s="18"/>
      <c r="C36" s="19"/>
      <c r="D36" s="19"/>
      <c r="E36" s="18" t="s">
        <v>73</v>
      </c>
      <c r="F36" s="19"/>
      <c r="G36" s="19">
        <f>SUM(G29:G35)</f>
        <v>1407.78125</v>
      </c>
      <c r="H36" s="19"/>
      <c r="I36" s="1"/>
    </row>
    <row r="37" spans="1:9" x14ac:dyDescent="0.2">
      <c r="C37" s="1"/>
      <c r="D37" s="1"/>
      <c r="F37" s="1"/>
      <c r="G37" s="1"/>
      <c r="H37" s="1"/>
      <c r="I37" s="1"/>
    </row>
    <row r="38" spans="1:9" x14ac:dyDescent="0.2">
      <c r="C38" s="1"/>
      <c r="D38" s="1"/>
      <c r="E38" s="1"/>
      <c r="G38" s="1"/>
      <c r="H38" s="1"/>
      <c r="I38" s="1"/>
    </row>
    <row r="39" spans="1:9" x14ac:dyDescent="0.2">
      <c r="C39" s="1"/>
      <c r="D39" s="1"/>
      <c r="E39" s="1"/>
      <c r="G39" s="23"/>
      <c r="H39" s="1"/>
      <c r="I39" s="1"/>
    </row>
    <row r="40" spans="1:9" x14ac:dyDescent="0.2">
      <c r="C40" s="1"/>
      <c r="D40" s="1"/>
      <c r="E40" s="1"/>
      <c r="F40" s="1"/>
      <c r="G40" s="1"/>
      <c r="H40" s="1"/>
      <c r="I40" s="1"/>
    </row>
    <row r="41" spans="1:9" x14ac:dyDescent="0.2">
      <c r="C41" s="1"/>
      <c r="D41" s="1"/>
      <c r="E41" s="1"/>
      <c r="F41" s="1"/>
      <c r="G41" s="1"/>
      <c r="H41" s="1"/>
      <c r="I41" s="1"/>
    </row>
    <row r="42" spans="1:9" x14ac:dyDescent="0.2">
      <c r="C42" s="1"/>
      <c r="D42" s="1"/>
      <c r="E42" s="1"/>
      <c r="F42" s="1"/>
      <c r="G42" s="1"/>
      <c r="H42" s="1"/>
      <c r="I42" s="1"/>
    </row>
    <row r="43" spans="1:9" x14ac:dyDescent="0.2">
      <c r="C43" s="1"/>
      <c r="D43" s="1"/>
      <c r="E43" s="1"/>
      <c r="F43" s="1"/>
      <c r="G43" s="1"/>
      <c r="H43" s="1"/>
      <c r="I43" s="1"/>
    </row>
    <row r="44" spans="1:9" x14ac:dyDescent="0.2">
      <c r="C44" s="1"/>
      <c r="D44" s="1"/>
      <c r="E44" s="1"/>
      <c r="F44" s="1"/>
      <c r="G44" s="1"/>
      <c r="H44" s="1"/>
      <c r="I44" s="1"/>
    </row>
    <row r="45" spans="1:9" x14ac:dyDescent="0.2">
      <c r="C45" s="1"/>
      <c r="D45" s="1"/>
      <c r="E45" s="1"/>
      <c r="F45" s="1"/>
      <c r="G45" s="1"/>
      <c r="H45" s="1"/>
      <c r="I45" s="1"/>
    </row>
    <row r="46" spans="1:9" x14ac:dyDescent="0.2">
      <c r="C46" s="1"/>
      <c r="D46" s="1"/>
      <c r="E46" s="1"/>
      <c r="F46" s="1"/>
      <c r="G46" s="1"/>
      <c r="H46" s="1"/>
      <c r="I46" s="1"/>
    </row>
    <row r="47" spans="1:9" x14ac:dyDescent="0.2">
      <c r="C47" s="1"/>
      <c r="D47" s="1"/>
      <c r="E47" s="1"/>
      <c r="F47" s="1"/>
      <c r="G47" s="1"/>
      <c r="H47" s="1"/>
      <c r="I47" s="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3" workbookViewId="0">
      <pane xSplit="1" ySplit="1" topLeftCell="E27" activePane="bottomRight" state="frozen"/>
      <selection activeCell="E36" sqref="E36"/>
      <selection pane="topRight" activeCell="A3" sqref="A3"/>
      <selection pane="bottomLeft" activeCell="A3" sqref="A3"/>
      <selection pane="bottomRight" activeCell="E27" sqref="E27"/>
    </sheetView>
  </sheetViews>
  <sheetFormatPr defaultColWidth="8.42578125" defaultRowHeight="12.75" x14ac:dyDescent="0.2"/>
  <cols>
    <col min="1" max="1" width="12.42578125" customWidth="1"/>
  </cols>
  <sheetData>
    <row r="1" spans="1:25" x14ac:dyDescent="0.2">
      <c r="A1" t="s">
        <v>100</v>
      </c>
    </row>
    <row r="3" spans="1:25" x14ac:dyDescent="0.2">
      <c r="A3" t="s">
        <v>101</v>
      </c>
      <c r="C3" t="s">
        <v>2</v>
      </c>
      <c r="D3" t="s">
        <v>3</v>
      </c>
      <c r="E3" t="s">
        <v>9</v>
      </c>
      <c r="F3" t="s">
        <v>10</v>
      </c>
      <c r="G3" t="s">
        <v>102</v>
      </c>
      <c r="H3" t="s">
        <v>103</v>
      </c>
      <c r="I3" t="s">
        <v>104</v>
      </c>
      <c r="J3" t="s">
        <v>8</v>
      </c>
      <c r="K3" t="s">
        <v>96</v>
      </c>
      <c r="L3" t="s">
        <v>97</v>
      </c>
      <c r="M3" t="s">
        <v>105</v>
      </c>
      <c r="N3" t="s">
        <v>106</v>
      </c>
      <c r="O3" t="s">
        <v>107</v>
      </c>
      <c r="P3" t="s">
        <v>75</v>
      </c>
      <c r="Q3" t="s">
        <v>108</v>
      </c>
      <c r="R3" t="s">
        <v>4</v>
      </c>
      <c r="S3" t="s">
        <v>5</v>
      </c>
      <c r="T3" t="s">
        <v>109</v>
      </c>
      <c r="U3" t="s">
        <v>110</v>
      </c>
      <c r="V3" t="s">
        <v>111</v>
      </c>
      <c r="W3" t="s">
        <v>112</v>
      </c>
      <c r="X3" t="s">
        <v>75</v>
      </c>
      <c r="Y3" t="s">
        <v>113</v>
      </c>
    </row>
    <row r="4" spans="1:25" x14ac:dyDescent="0.2">
      <c r="C4" s="5"/>
      <c r="D4" s="5"/>
      <c r="E4" s="5"/>
      <c r="F4" s="5"/>
      <c r="G4" s="5"/>
      <c r="H4" s="5"/>
      <c r="I4" s="5"/>
      <c r="J4" s="5"/>
      <c r="K4" s="5"/>
      <c r="L4" s="5"/>
    </row>
    <row r="5" spans="1:25" x14ac:dyDescent="0.2">
      <c r="B5" t="s">
        <v>12</v>
      </c>
      <c r="C5">
        <v>400</v>
      </c>
      <c r="D5">
        <v>400</v>
      </c>
      <c r="E5">
        <v>400</v>
      </c>
      <c r="F5">
        <v>400</v>
      </c>
      <c r="G5">
        <v>400</v>
      </c>
      <c r="H5">
        <v>400</v>
      </c>
      <c r="I5">
        <v>400</v>
      </c>
      <c r="J5">
        <v>400</v>
      </c>
      <c r="K5">
        <v>400</v>
      </c>
      <c r="L5">
        <v>400</v>
      </c>
      <c r="M5">
        <v>400</v>
      </c>
      <c r="N5">
        <v>400</v>
      </c>
      <c r="O5">
        <v>0</v>
      </c>
      <c r="P5">
        <v>400</v>
      </c>
      <c r="Q5">
        <v>400</v>
      </c>
      <c r="R5">
        <v>400</v>
      </c>
      <c r="S5">
        <v>400</v>
      </c>
      <c r="T5">
        <v>400</v>
      </c>
      <c r="U5">
        <v>400</v>
      </c>
      <c r="V5">
        <v>400</v>
      </c>
      <c r="W5">
        <v>400</v>
      </c>
      <c r="X5">
        <v>400</v>
      </c>
      <c r="Y5">
        <v>400</v>
      </c>
    </row>
    <row r="6" spans="1:25" x14ac:dyDescent="0.2">
      <c r="B6" t="s">
        <v>13</v>
      </c>
      <c r="C6">
        <f>1220+85-400</f>
        <v>905</v>
      </c>
      <c r="D6">
        <f>1220+85-400</f>
        <v>905</v>
      </c>
      <c r="E6">
        <f>1220-280-400+85</f>
        <v>625</v>
      </c>
      <c r="F6">
        <f>1220-280-400+85</f>
        <v>625</v>
      </c>
      <c r="G6">
        <v>905</v>
      </c>
      <c r="H6">
        <v>625</v>
      </c>
      <c r="I6">
        <v>625</v>
      </c>
      <c r="J6">
        <f>1220+85-400</f>
        <v>905</v>
      </c>
      <c r="K6">
        <v>905</v>
      </c>
      <c r="L6">
        <v>905</v>
      </c>
      <c r="M6">
        <v>544</v>
      </c>
      <c r="N6">
        <v>544</v>
      </c>
      <c r="O6">
        <v>1611</v>
      </c>
      <c r="P6">
        <f t="shared" ref="P6:W6" si="0">1220-400</f>
        <v>820</v>
      </c>
      <c r="Q6">
        <f t="shared" si="0"/>
        <v>820</v>
      </c>
      <c r="R6">
        <f t="shared" si="0"/>
        <v>820</v>
      </c>
      <c r="S6">
        <f t="shared" si="0"/>
        <v>820</v>
      </c>
      <c r="T6">
        <f t="shared" si="0"/>
        <v>820</v>
      </c>
      <c r="U6">
        <f t="shared" si="0"/>
        <v>820</v>
      </c>
      <c r="V6">
        <f t="shared" si="0"/>
        <v>820</v>
      </c>
      <c r="W6">
        <f t="shared" si="0"/>
        <v>820</v>
      </c>
      <c r="X6">
        <v>820</v>
      </c>
      <c r="Y6">
        <f>1220-400</f>
        <v>820</v>
      </c>
    </row>
    <row r="7" spans="1:25" x14ac:dyDescent="0.2">
      <c r="B7" t="s">
        <v>11</v>
      </c>
      <c r="C7" t="s">
        <v>114</v>
      </c>
      <c r="D7" t="s">
        <v>114</v>
      </c>
      <c r="E7" t="s">
        <v>114</v>
      </c>
      <c r="F7" t="s">
        <v>114</v>
      </c>
      <c r="G7" t="s">
        <v>115</v>
      </c>
      <c r="H7" t="s">
        <v>115</v>
      </c>
      <c r="I7" t="s">
        <v>115</v>
      </c>
      <c r="J7" t="s">
        <v>116</v>
      </c>
      <c r="M7" t="s">
        <v>117</v>
      </c>
      <c r="N7" t="s">
        <v>117</v>
      </c>
      <c r="O7" t="s">
        <v>118</v>
      </c>
      <c r="R7" t="s">
        <v>118</v>
      </c>
    </row>
    <row r="8" spans="1:25" x14ac:dyDescent="0.2">
      <c r="A8" s="30"/>
      <c r="B8" t="s">
        <v>55</v>
      </c>
      <c r="C8">
        <f t="shared" ref="C8:Y8" si="1">SUM(C5,C6)</f>
        <v>1305</v>
      </c>
      <c r="D8">
        <f t="shared" si="1"/>
        <v>1305</v>
      </c>
      <c r="E8">
        <f t="shared" si="1"/>
        <v>1025</v>
      </c>
      <c r="F8">
        <f t="shared" si="1"/>
        <v>1025</v>
      </c>
      <c r="G8">
        <f t="shared" si="1"/>
        <v>1305</v>
      </c>
      <c r="H8">
        <f t="shared" si="1"/>
        <v>1025</v>
      </c>
      <c r="I8">
        <f t="shared" si="1"/>
        <v>1025</v>
      </c>
      <c r="J8">
        <f t="shared" si="1"/>
        <v>1305</v>
      </c>
      <c r="K8">
        <f t="shared" si="1"/>
        <v>1305</v>
      </c>
      <c r="L8">
        <f t="shared" si="1"/>
        <v>1305</v>
      </c>
      <c r="M8">
        <f t="shared" si="1"/>
        <v>944</v>
      </c>
      <c r="N8">
        <f t="shared" si="1"/>
        <v>944</v>
      </c>
      <c r="O8">
        <f t="shared" si="1"/>
        <v>1611</v>
      </c>
      <c r="P8">
        <f t="shared" si="1"/>
        <v>1220</v>
      </c>
      <c r="Q8">
        <f t="shared" si="1"/>
        <v>1220</v>
      </c>
      <c r="R8">
        <f t="shared" si="1"/>
        <v>1220</v>
      </c>
      <c r="S8">
        <f t="shared" si="1"/>
        <v>1220</v>
      </c>
      <c r="T8">
        <f t="shared" si="1"/>
        <v>1220</v>
      </c>
      <c r="U8">
        <f t="shared" si="1"/>
        <v>1220</v>
      </c>
      <c r="V8">
        <f t="shared" si="1"/>
        <v>1220</v>
      </c>
      <c r="W8">
        <f t="shared" si="1"/>
        <v>1220</v>
      </c>
      <c r="X8">
        <f t="shared" si="1"/>
        <v>1220</v>
      </c>
      <c r="Y8">
        <f t="shared" si="1"/>
        <v>1220</v>
      </c>
    </row>
    <row r="9" spans="1:25" x14ac:dyDescent="0.2">
      <c r="A9" s="30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x14ac:dyDescent="0.2">
      <c r="A10" s="31" t="s">
        <v>119</v>
      </c>
      <c r="B10" s="26">
        <f>SUM(C10:Y10)</f>
        <v>5139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>
        <f>SUM(M$5,M$6)</f>
        <v>944</v>
      </c>
      <c r="N10" s="17">
        <f>SUM(N$5,N$6)</f>
        <v>944</v>
      </c>
      <c r="O10" s="17">
        <f>SUM(O$5,O$6)</f>
        <v>1611</v>
      </c>
      <c r="P10" s="17">
        <f>P6</f>
        <v>820</v>
      </c>
      <c r="Q10" s="17">
        <f>Q6</f>
        <v>820</v>
      </c>
      <c r="R10" s="17"/>
      <c r="S10" s="17"/>
      <c r="T10" s="17"/>
      <c r="U10" s="17"/>
      <c r="V10" s="17"/>
      <c r="W10" s="17"/>
      <c r="X10" s="17"/>
      <c r="Y10" s="17"/>
    </row>
    <row r="11" spans="1:25" x14ac:dyDescent="0.2">
      <c r="A11" s="31" t="s">
        <v>120</v>
      </c>
      <c r="B11" s="26">
        <f>SUM(C11:Y11)</f>
        <v>13130</v>
      </c>
      <c r="C11" s="17">
        <f t="shared" ref="C11:L11" si="2">SUM(C$5,C$6)</f>
        <v>1305</v>
      </c>
      <c r="D11" s="17">
        <f t="shared" si="2"/>
        <v>1305</v>
      </c>
      <c r="E11" s="17">
        <f t="shared" si="2"/>
        <v>1025</v>
      </c>
      <c r="F11" s="17">
        <f t="shared" si="2"/>
        <v>1025</v>
      </c>
      <c r="G11" s="17">
        <f t="shared" si="2"/>
        <v>1305</v>
      </c>
      <c r="H11" s="17">
        <f t="shared" si="2"/>
        <v>1025</v>
      </c>
      <c r="I11" s="17">
        <f t="shared" si="2"/>
        <v>1025</v>
      </c>
      <c r="J11" s="17">
        <f t="shared" si="2"/>
        <v>1305</v>
      </c>
      <c r="K11" s="17">
        <f t="shared" si="2"/>
        <v>1305</v>
      </c>
      <c r="L11" s="17">
        <f t="shared" si="2"/>
        <v>1305</v>
      </c>
      <c r="M11" s="17"/>
      <c r="N11" s="17"/>
      <c r="O11" s="17"/>
      <c r="P11" s="17">
        <f>P5</f>
        <v>400</v>
      </c>
      <c r="Q11" s="17">
        <f>Q5</f>
        <v>400</v>
      </c>
      <c r="R11" s="17"/>
      <c r="S11" s="17"/>
      <c r="T11" s="17"/>
      <c r="U11" s="17"/>
      <c r="V11" s="17"/>
      <c r="W11" s="17"/>
      <c r="X11" s="17">
        <v>400</v>
      </c>
      <c r="Y11" s="17"/>
    </row>
    <row r="12" spans="1:25" x14ac:dyDescent="0.2">
      <c r="A12" s="31" t="s">
        <v>121</v>
      </c>
      <c r="B12" s="29">
        <f>SUM(C12:Y12)</f>
        <v>9360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>
        <f t="shared" ref="R12:W12" si="3">SUM(R$5,R$6)</f>
        <v>1220</v>
      </c>
      <c r="S12" s="17">
        <f t="shared" si="3"/>
        <v>1220</v>
      </c>
      <c r="T12" s="17">
        <f t="shared" si="3"/>
        <v>1220</v>
      </c>
      <c r="U12" s="17">
        <f t="shared" si="3"/>
        <v>1220</v>
      </c>
      <c r="V12" s="17">
        <f t="shared" si="3"/>
        <v>1220</v>
      </c>
      <c r="W12" s="17">
        <f t="shared" si="3"/>
        <v>1220</v>
      </c>
      <c r="X12" s="17">
        <f>SUM(X6)</f>
        <v>820</v>
      </c>
      <c r="Y12" s="17">
        <f>SUM(Y$5,Y$6)</f>
        <v>1220</v>
      </c>
    </row>
    <row r="13" spans="1:25" x14ac:dyDescent="0.2">
      <c r="A13" s="31" t="s">
        <v>122</v>
      </c>
      <c r="B13" s="26">
        <f>SUM(B10:B12)</f>
        <v>27629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x14ac:dyDescent="0.2">
      <c r="A14" s="30"/>
      <c r="B14" s="27"/>
    </row>
    <row r="15" spans="1:25" x14ac:dyDescent="0.2">
      <c r="A15" s="30" t="s">
        <v>123</v>
      </c>
      <c r="B15" s="27"/>
      <c r="C15">
        <f t="shared" ref="C15:Y15" si="4">C16-C8</f>
        <v>0</v>
      </c>
      <c r="D15">
        <f t="shared" si="4"/>
        <v>0</v>
      </c>
      <c r="E15">
        <f t="shared" si="4"/>
        <v>0</v>
      </c>
      <c r="F15">
        <f t="shared" si="4"/>
        <v>0</v>
      </c>
      <c r="G15">
        <f t="shared" si="4"/>
        <v>0</v>
      </c>
      <c r="H15">
        <f t="shared" si="4"/>
        <v>0</v>
      </c>
      <c r="I15">
        <f t="shared" si="4"/>
        <v>0</v>
      </c>
      <c r="J15">
        <f t="shared" si="4"/>
        <v>0</v>
      </c>
      <c r="K15">
        <f t="shared" si="4"/>
        <v>0</v>
      </c>
      <c r="L15">
        <f t="shared" si="4"/>
        <v>0</v>
      </c>
      <c r="M15">
        <f t="shared" si="4"/>
        <v>0</v>
      </c>
      <c r="N15">
        <f t="shared" si="4"/>
        <v>0</v>
      </c>
      <c r="O15">
        <f t="shared" si="4"/>
        <v>0</v>
      </c>
      <c r="P15">
        <f t="shared" si="4"/>
        <v>0</v>
      </c>
      <c r="Q15">
        <f t="shared" si="4"/>
        <v>0</v>
      </c>
      <c r="R15">
        <f t="shared" si="4"/>
        <v>0</v>
      </c>
      <c r="S15">
        <f t="shared" si="4"/>
        <v>0</v>
      </c>
      <c r="T15">
        <f t="shared" si="4"/>
        <v>0</v>
      </c>
      <c r="U15">
        <f t="shared" si="4"/>
        <v>0</v>
      </c>
      <c r="V15">
        <f t="shared" si="4"/>
        <v>0</v>
      </c>
      <c r="W15">
        <f t="shared" si="4"/>
        <v>0</v>
      </c>
      <c r="X15">
        <f t="shared" si="4"/>
        <v>0</v>
      </c>
      <c r="Y15">
        <f t="shared" si="4"/>
        <v>0</v>
      </c>
    </row>
    <row r="16" spans="1:25" ht="26.25" customHeight="1" x14ac:dyDescent="0.2">
      <c r="A16" s="30" t="s">
        <v>124</v>
      </c>
      <c r="B16" s="27">
        <f>SUM(C16:Y16)</f>
        <v>27629</v>
      </c>
      <c r="C16">
        <f>820+400+85</f>
        <v>1305</v>
      </c>
      <c r="D16">
        <f>820+400+85</f>
        <v>1305</v>
      </c>
      <c r="E16">
        <f>820+400+85-280</f>
        <v>1025</v>
      </c>
      <c r="F16">
        <f>820+400+85-280</f>
        <v>1025</v>
      </c>
      <c r="G16">
        <f>820+400+85</f>
        <v>1305</v>
      </c>
      <c r="H16">
        <f>820+400+85-280</f>
        <v>1025</v>
      </c>
      <c r="I16">
        <f>820+400+85-280</f>
        <v>1025</v>
      </c>
      <c r="J16">
        <f>820+400+85</f>
        <v>1305</v>
      </c>
      <c r="K16">
        <f>820+400+85</f>
        <v>1305</v>
      </c>
      <c r="L16">
        <f>820+400+85</f>
        <v>1305</v>
      </c>
      <c r="M16">
        <f>820+400-276</f>
        <v>944</v>
      </c>
      <c r="N16">
        <f>820+400-276</f>
        <v>944</v>
      </c>
      <c r="O16">
        <v>1611</v>
      </c>
      <c r="P16">
        <f t="shared" ref="P16:Y16" si="5">820+400</f>
        <v>1220</v>
      </c>
      <c r="Q16">
        <f t="shared" si="5"/>
        <v>1220</v>
      </c>
      <c r="R16">
        <f t="shared" si="5"/>
        <v>1220</v>
      </c>
      <c r="S16">
        <f t="shared" si="5"/>
        <v>1220</v>
      </c>
      <c r="T16">
        <f t="shared" si="5"/>
        <v>1220</v>
      </c>
      <c r="U16">
        <f t="shared" si="5"/>
        <v>1220</v>
      </c>
      <c r="V16">
        <f t="shared" si="5"/>
        <v>1220</v>
      </c>
      <c r="W16">
        <f t="shared" si="5"/>
        <v>1220</v>
      </c>
      <c r="X16">
        <f t="shared" si="5"/>
        <v>1220</v>
      </c>
      <c r="Y16">
        <f t="shared" si="5"/>
        <v>1220</v>
      </c>
    </row>
    <row r="17" spans="1:26" ht="15" customHeight="1" x14ac:dyDescent="0.2">
      <c r="A17" s="30" t="s">
        <v>125</v>
      </c>
      <c r="B17" s="27">
        <f>B16-849.5</f>
        <v>26779.5</v>
      </c>
      <c r="C17">
        <f t="shared" ref="C17:L17" si="6">C16-84.95</f>
        <v>1220.05</v>
      </c>
      <c r="D17">
        <f t="shared" si="6"/>
        <v>1220.05</v>
      </c>
      <c r="E17">
        <f t="shared" si="6"/>
        <v>940.05</v>
      </c>
      <c r="F17">
        <f t="shared" si="6"/>
        <v>940.05</v>
      </c>
      <c r="G17">
        <f t="shared" si="6"/>
        <v>1220.05</v>
      </c>
      <c r="H17">
        <f t="shared" si="6"/>
        <v>940.05</v>
      </c>
      <c r="I17">
        <f t="shared" si="6"/>
        <v>940.05</v>
      </c>
      <c r="J17">
        <f t="shared" si="6"/>
        <v>1220.05</v>
      </c>
      <c r="K17">
        <f t="shared" si="6"/>
        <v>1220.05</v>
      </c>
      <c r="L17">
        <f t="shared" si="6"/>
        <v>1220.05</v>
      </c>
      <c r="M17">
        <f t="shared" ref="M17:Y17" si="7">M16</f>
        <v>944</v>
      </c>
      <c r="N17">
        <f t="shared" si="7"/>
        <v>944</v>
      </c>
      <c r="O17">
        <f t="shared" si="7"/>
        <v>1611</v>
      </c>
      <c r="P17">
        <f t="shared" si="7"/>
        <v>1220</v>
      </c>
      <c r="Q17">
        <f t="shared" si="7"/>
        <v>1220</v>
      </c>
      <c r="R17">
        <f t="shared" si="7"/>
        <v>1220</v>
      </c>
      <c r="S17">
        <f t="shared" si="7"/>
        <v>1220</v>
      </c>
      <c r="T17">
        <f t="shared" si="7"/>
        <v>1220</v>
      </c>
      <c r="U17">
        <f t="shared" si="7"/>
        <v>1220</v>
      </c>
      <c r="V17">
        <f t="shared" si="7"/>
        <v>1220</v>
      </c>
      <c r="W17">
        <f t="shared" si="7"/>
        <v>1220</v>
      </c>
      <c r="X17">
        <f t="shared" si="7"/>
        <v>1220</v>
      </c>
      <c r="Y17">
        <f t="shared" si="7"/>
        <v>1220</v>
      </c>
    </row>
    <row r="18" spans="1:26" x14ac:dyDescent="0.2">
      <c r="A18" s="30" t="s">
        <v>126</v>
      </c>
      <c r="B18" s="27"/>
    </row>
    <row r="19" spans="1:26" ht="25.5" x14ac:dyDescent="0.2">
      <c r="A19" s="30" t="s">
        <v>18</v>
      </c>
      <c r="B19" s="10">
        <f>SUM(C19:Y19)</f>
        <v>24987.9</v>
      </c>
      <c r="C19" s="9">
        <f t="shared" ref="C19:Y19" si="8">SUM(C21:C29)</f>
        <v>10005.799999999999</v>
      </c>
      <c r="D19" s="8">
        <f t="shared" si="8"/>
        <v>601</v>
      </c>
      <c r="E19" s="8">
        <f t="shared" si="8"/>
        <v>0</v>
      </c>
      <c r="F19" s="8">
        <f t="shared" si="8"/>
        <v>141</v>
      </c>
      <c r="G19" s="8">
        <f t="shared" si="8"/>
        <v>2</v>
      </c>
      <c r="H19" s="10">
        <f t="shared" si="8"/>
        <v>0</v>
      </c>
      <c r="I19" s="8">
        <f t="shared" si="8"/>
        <v>0</v>
      </c>
      <c r="J19" s="8">
        <f t="shared" si="8"/>
        <v>8</v>
      </c>
      <c r="K19" s="8">
        <f t="shared" si="8"/>
        <v>0</v>
      </c>
      <c r="L19" s="8">
        <f t="shared" si="8"/>
        <v>0</v>
      </c>
      <c r="M19" s="8">
        <f t="shared" si="8"/>
        <v>4894</v>
      </c>
      <c r="N19" s="8">
        <f t="shared" si="8"/>
        <v>0</v>
      </c>
      <c r="O19" s="8">
        <f t="shared" si="8"/>
        <v>-139</v>
      </c>
      <c r="P19" s="8">
        <f t="shared" si="8"/>
        <v>90</v>
      </c>
      <c r="Q19" s="28">
        <f t="shared" si="8"/>
        <v>10</v>
      </c>
      <c r="R19" s="28">
        <f t="shared" si="8"/>
        <v>9320.1</v>
      </c>
      <c r="S19" s="8">
        <f t="shared" si="8"/>
        <v>20</v>
      </c>
      <c r="T19" s="8">
        <f t="shared" si="8"/>
        <v>80</v>
      </c>
      <c r="U19" s="8">
        <f t="shared" si="8"/>
        <v>0</v>
      </c>
      <c r="V19" s="8">
        <f t="shared" si="8"/>
        <v>0</v>
      </c>
      <c r="W19" s="8">
        <f t="shared" si="8"/>
        <v>35</v>
      </c>
      <c r="X19" s="8">
        <f t="shared" si="8"/>
        <v>-80</v>
      </c>
      <c r="Y19" s="8">
        <f t="shared" si="8"/>
        <v>0</v>
      </c>
      <c r="Z19" s="27"/>
    </row>
    <row r="20" spans="1:26" x14ac:dyDescent="0.2">
      <c r="A20" s="30" t="s">
        <v>19</v>
      </c>
    </row>
    <row r="21" spans="1:26" x14ac:dyDescent="0.2">
      <c r="A21" s="30"/>
      <c r="B21" t="s">
        <v>23</v>
      </c>
      <c r="C21">
        <v>9032.25</v>
      </c>
      <c r="D21">
        <v>11</v>
      </c>
      <c r="F21">
        <v>71</v>
      </c>
      <c r="H21" s="7"/>
      <c r="J21">
        <v>8</v>
      </c>
      <c r="M21">
        <v>3580</v>
      </c>
      <c r="O21">
        <v>-139</v>
      </c>
      <c r="P21">
        <v>50</v>
      </c>
      <c r="Q21">
        <v>10</v>
      </c>
      <c r="R21" s="24">
        <v>2133.16</v>
      </c>
      <c r="S21">
        <v>20</v>
      </c>
      <c r="T21">
        <v>80</v>
      </c>
      <c r="W21">
        <v>21</v>
      </c>
      <c r="X21">
        <v>-80</v>
      </c>
    </row>
    <row r="22" spans="1:26" x14ac:dyDescent="0.2">
      <c r="A22" s="30"/>
      <c r="C22">
        <v>746.05</v>
      </c>
      <c r="D22">
        <v>13</v>
      </c>
      <c r="F22">
        <v>70</v>
      </c>
      <c r="G22">
        <v>2</v>
      </c>
      <c r="H22" s="7"/>
      <c r="M22">
        <v>36</v>
      </c>
      <c r="P22">
        <v>40</v>
      </c>
      <c r="R22">
        <v>5993.84</v>
      </c>
      <c r="W22">
        <v>9</v>
      </c>
    </row>
    <row r="23" spans="1:26" x14ac:dyDescent="0.2">
      <c r="A23" s="30"/>
      <c r="C23">
        <v>175</v>
      </c>
      <c r="D23">
        <v>15</v>
      </c>
      <c r="I23" s="7"/>
      <c r="M23">
        <v>786</v>
      </c>
      <c r="R23">
        <v>206</v>
      </c>
      <c r="W23">
        <v>5</v>
      </c>
    </row>
    <row r="24" spans="1:26" x14ac:dyDescent="0.2">
      <c r="A24" s="30"/>
      <c r="C24">
        <v>800</v>
      </c>
      <c r="D24">
        <v>30</v>
      </c>
      <c r="M24">
        <v>442</v>
      </c>
      <c r="R24">
        <v>661</v>
      </c>
    </row>
    <row r="25" spans="1:26" x14ac:dyDescent="0.2">
      <c r="A25" s="30"/>
      <c r="C25">
        <v>80</v>
      </c>
      <c r="D25">
        <v>10</v>
      </c>
      <c r="M25">
        <v>50</v>
      </c>
      <c r="R25" s="18">
        <v>1126.0999999999999</v>
      </c>
    </row>
    <row r="26" spans="1:26" x14ac:dyDescent="0.2">
      <c r="A26" s="30"/>
      <c r="C26">
        <v>-849.5</v>
      </c>
      <c r="D26">
        <v>522</v>
      </c>
      <c r="R26">
        <v>-800</v>
      </c>
    </row>
    <row r="27" spans="1:26" x14ac:dyDescent="0.2">
      <c r="A27" s="30"/>
      <c r="C27">
        <v>22</v>
      </c>
    </row>
    <row r="28" spans="1:26" x14ac:dyDescent="0.2">
      <c r="A28" s="30"/>
    </row>
    <row r="29" spans="1:26" x14ac:dyDescent="0.2">
      <c r="A29" s="30"/>
    </row>
    <row r="30" spans="1:26" x14ac:dyDescent="0.2">
      <c r="A30" s="30" t="s">
        <v>24</v>
      </c>
      <c r="B30" s="4" t="s">
        <v>127</v>
      </c>
      <c r="I30" s="25"/>
      <c r="J30" s="4" t="s">
        <v>127</v>
      </c>
      <c r="Q30" s="4" t="s">
        <v>127</v>
      </c>
    </row>
    <row r="31" spans="1:26" x14ac:dyDescent="0.2">
      <c r="A31" s="30"/>
      <c r="B31" s="4"/>
    </row>
    <row r="32" spans="1:26" ht="25.5" x14ac:dyDescent="0.2">
      <c r="A32" s="30" t="s">
        <v>128</v>
      </c>
      <c r="B32" s="4"/>
    </row>
    <row r="33" spans="1:25" x14ac:dyDescent="0.2">
      <c r="A33" s="30" t="s">
        <v>26</v>
      </c>
      <c r="B33" s="25">
        <f>B17</f>
        <v>26779.5</v>
      </c>
    </row>
    <row r="34" spans="1:25" ht="25.5" x14ac:dyDescent="0.2">
      <c r="A34" s="30" t="s">
        <v>129</v>
      </c>
      <c r="B34" s="25">
        <f>+B19</f>
        <v>24987.9</v>
      </c>
      <c r="C34" s="1">
        <f t="shared" ref="C34:Y34" si="9">$B$34/($B$17/C$17)</f>
        <v>1138.4263109841484</v>
      </c>
      <c r="D34" s="1">
        <f t="shared" si="9"/>
        <v>1138.4263109841484</v>
      </c>
      <c r="E34" s="1">
        <f t="shared" si="9"/>
        <v>877.15884893295242</v>
      </c>
      <c r="F34" s="1">
        <f t="shared" si="9"/>
        <v>877.15884893295242</v>
      </c>
      <c r="G34" s="1">
        <f t="shared" si="9"/>
        <v>1138.4263109841484</v>
      </c>
      <c r="H34" s="1">
        <f t="shared" si="9"/>
        <v>877.15884893295242</v>
      </c>
      <c r="I34" s="1">
        <f t="shared" si="9"/>
        <v>877.15884893295242</v>
      </c>
      <c r="J34" s="1">
        <f t="shared" si="9"/>
        <v>1138.4263109841484</v>
      </c>
      <c r="K34" s="1">
        <f t="shared" si="9"/>
        <v>1138.4263109841484</v>
      </c>
      <c r="L34" s="1">
        <f t="shared" si="9"/>
        <v>1138.4263109841484</v>
      </c>
      <c r="M34" s="1">
        <f t="shared" si="9"/>
        <v>880.84458634403188</v>
      </c>
      <c r="N34" s="1">
        <f t="shared" si="9"/>
        <v>880.84458634403188</v>
      </c>
      <c r="O34" s="1">
        <f t="shared" si="9"/>
        <v>1503.2210048731306</v>
      </c>
      <c r="P34" s="1">
        <f t="shared" si="9"/>
        <v>1138.3796560802107</v>
      </c>
      <c r="Q34" s="1">
        <f t="shared" si="9"/>
        <v>1138.3796560802107</v>
      </c>
      <c r="R34" s="1">
        <f t="shared" si="9"/>
        <v>1138.3796560802107</v>
      </c>
      <c r="S34" s="1">
        <f t="shared" si="9"/>
        <v>1138.3796560802107</v>
      </c>
      <c r="T34" s="1">
        <f t="shared" si="9"/>
        <v>1138.3796560802107</v>
      </c>
      <c r="U34" s="1">
        <f t="shared" si="9"/>
        <v>1138.3796560802107</v>
      </c>
      <c r="V34" s="1">
        <f t="shared" si="9"/>
        <v>1138.3796560802107</v>
      </c>
      <c r="W34" s="1">
        <f t="shared" si="9"/>
        <v>1138.3796560802107</v>
      </c>
      <c r="X34" s="1">
        <f t="shared" si="9"/>
        <v>1138.3796560802107</v>
      </c>
      <c r="Y34" s="1">
        <f t="shared" si="9"/>
        <v>1138.3796560802107</v>
      </c>
    </row>
    <row r="35" spans="1:25" x14ac:dyDescent="0.2">
      <c r="A35" s="30" t="s">
        <v>30</v>
      </c>
      <c r="B35" s="25">
        <f>B33-B34</f>
        <v>1791.5999999999985</v>
      </c>
      <c r="C35" s="32">
        <f>C17+C19-B11+849.5</f>
        <v>-1054.6500000000015</v>
      </c>
      <c r="D35">
        <f t="shared" ref="D35:L35" si="10">D17+D19</f>
        <v>1821.05</v>
      </c>
      <c r="E35">
        <f t="shared" si="10"/>
        <v>940.05</v>
      </c>
      <c r="F35">
        <f t="shared" si="10"/>
        <v>1081.05</v>
      </c>
      <c r="G35">
        <f t="shared" si="10"/>
        <v>1222.05</v>
      </c>
      <c r="H35">
        <f t="shared" si="10"/>
        <v>940.05</v>
      </c>
      <c r="I35">
        <f t="shared" si="10"/>
        <v>940.05</v>
      </c>
      <c r="J35">
        <f t="shared" si="10"/>
        <v>1228.05</v>
      </c>
      <c r="K35">
        <f t="shared" si="10"/>
        <v>1220.05</v>
      </c>
      <c r="L35">
        <f t="shared" si="10"/>
        <v>1220.05</v>
      </c>
      <c r="M35">
        <f>M17+M19-B10</f>
        <v>699</v>
      </c>
      <c r="N35">
        <f>N17+N19</f>
        <v>944</v>
      </c>
      <c r="O35">
        <f>O17+O19</f>
        <v>1472</v>
      </c>
      <c r="P35">
        <f>P17+P19</f>
        <v>1310</v>
      </c>
      <c r="Q35">
        <f>Q17+Q19</f>
        <v>1230</v>
      </c>
      <c r="R35">
        <f>R17+R19-B12</f>
        <v>1180.1000000000004</v>
      </c>
      <c r="S35">
        <f t="shared" ref="S35:Y35" si="11">S17+S19</f>
        <v>1240</v>
      </c>
      <c r="T35">
        <f t="shared" si="11"/>
        <v>1300</v>
      </c>
      <c r="U35">
        <f t="shared" si="11"/>
        <v>1220</v>
      </c>
      <c r="V35">
        <f t="shared" si="11"/>
        <v>1220</v>
      </c>
      <c r="W35">
        <f t="shared" si="11"/>
        <v>1255</v>
      </c>
      <c r="X35">
        <f t="shared" si="11"/>
        <v>1140</v>
      </c>
      <c r="Y35">
        <f t="shared" si="11"/>
        <v>1220</v>
      </c>
    </row>
    <row r="36" spans="1:25" x14ac:dyDescent="0.2">
      <c r="A36" s="30" t="s">
        <v>130</v>
      </c>
      <c r="B36" s="33">
        <f>SUM(C36:Y36)</f>
        <v>-2.7284841053187847E-12</v>
      </c>
      <c r="C36" s="1">
        <f t="shared" ref="C36:Y36" si="12">C35-C34</f>
        <v>-2193.07631098415</v>
      </c>
      <c r="D36" s="1">
        <f t="shared" si="12"/>
        <v>682.6236890158516</v>
      </c>
      <c r="E36" s="1">
        <f t="shared" si="12"/>
        <v>62.891151067047531</v>
      </c>
      <c r="F36" s="1">
        <f t="shared" si="12"/>
        <v>203.89115106704753</v>
      </c>
      <c r="G36" s="1">
        <f t="shared" si="12"/>
        <v>83.623689015851596</v>
      </c>
      <c r="H36" s="1">
        <f t="shared" si="12"/>
        <v>62.891151067047531</v>
      </c>
      <c r="I36" s="1">
        <f t="shared" si="12"/>
        <v>62.891151067047531</v>
      </c>
      <c r="J36" s="1">
        <f t="shared" si="12"/>
        <v>89.623689015851596</v>
      </c>
      <c r="K36" s="1">
        <f t="shared" si="12"/>
        <v>81.623689015851596</v>
      </c>
      <c r="L36" s="1">
        <f t="shared" si="12"/>
        <v>81.623689015851596</v>
      </c>
      <c r="M36" s="1">
        <f t="shared" si="12"/>
        <v>-181.84458634403188</v>
      </c>
      <c r="N36" s="1">
        <f t="shared" si="12"/>
        <v>63.155413655968118</v>
      </c>
      <c r="O36" s="1">
        <f t="shared" si="12"/>
        <v>-31.221004873130596</v>
      </c>
      <c r="P36" s="1">
        <f t="shared" si="12"/>
        <v>171.62034391978932</v>
      </c>
      <c r="Q36" s="1">
        <f t="shared" si="12"/>
        <v>91.62034391978932</v>
      </c>
      <c r="R36" s="1">
        <f t="shared" si="12"/>
        <v>41.720343919789684</v>
      </c>
      <c r="S36" s="1">
        <f t="shared" si="12"/>
        <v>101.62034391978932</v>
      </c>
      <c r="T36" s="1">
        <f t="shared" si="12"/>
        <v>161.62034391978932</v>
      </c>
      <c r="U36" s="1">
        <f t="shared" si="12"/>
        <v>81.62034391978932</v>
      </c>
      <c r="V36" s="1">
        <f t="shared" si="12"/>
        <v>81.62034391978932</v>
      </c>
      <c r="W36" s="1">
        <f t="shared" si="12"/>
        <v>116.62034391978932</v>
      </c>
      <c r="X36" s="1">
        <f t="shared" si="12"/>
        <v>1.6203439197893204</v>
      </c>
      <c r="Y36" s="1">
        <f t="shared" si="12"/>
        <v>81.62034391978932</v>
      </c>
    </row>
    <row r="37" spans="1:25" x14ac:dyDescent="0.2">
      <c r="A37" s="30" t="s">
        <v>131</v>
      </c>
      <c r="B37" s="33">
        <f>SUM(C37:Y37)</f>
        <v>-2.7284841053187847E-12</v>
      </c>
      <c r="C37" s="12">
        <f>SUM(C36:F36)</f>
        <v>-1243.6703198342034</v>
      </c>
      <c r="G37" s="12">
        <f>SUM(G36:I36)</f>
        <v>209.40599114994666</v>
      </c>
      <c r="J37" s="12">
        <f>J36</f>
        <v>89.623689015851596</v>
      </c>
      <c r="K37" s="12">
        <f>SUM(K36:L36)</f>
        <v>163.24737803170319</v>
      </c>
      <c r="M37" s="12">
        <f>SUM(M36:N36)</f>
        <v>-118.68917268806376</v>
      </c>
      <c r="O37" s="12">
        <f>O36</f>
        <v>-31.221004873130596</v>
      </c>
      <c r="P37" s="12">
        <f>SUM(P36:Q36)</f>
        <v>263.24068783957864</v>
      </c>
      <c r="R37" s="12">
        <f>R36</f>
        <v>41.720343919789684</v>
      </c>
      <c r="S37" s="12">
        <f>S36</f>
        <v>101.62034391978932</v>
      </c>
      <c r="T37" s="12">
        <f>SUM(T36:U36)</f>
        <v>243.24068783957864</v>
      </c>
      <c r="V37" s="12">
        <f>SUM(V36:W36)</f>
        <v>198.24068783957864</v>
      </c>
      <c r="X37" s="12">
        <f>X36</f>
        <v>1.6203439197893204</v>
      </c>
      <c r="Y37" s="12">
        <f>Y36</f>
        <v>81.62034391978932</v>
      </c>
    </row>
    <row r="38" spans="1:25" x14ac:dyDescent="0.2">
      <c r="A38" s="30"/>
    </row>
    <row r="39" spans="1:25" x14ac:dyDescent="0.2">
      <c r="A39" s="30"/>
      <c r="J39" s="12"/>
    </row>
    <row r="40" spans="1:25" x14ac:dyDescent="0.2">
      <c r="A40" s="30"/>
    </row>
    <row r="41" spans="1:25" x14ac:dyDescent="0.2">
      <c r="A41" s="30"/>
      <c r="D41" t="s">
        <v>132</v>
      </c>
      <c r="E41" t="s">
        <v>133</v>
      </c>
    </row>
    <row r="42" spans="1:25" ht="38.25" x14ac:dyDescent="0.2">
      <c r="A42" s="30" t="s">
        <v>35</v>
      </c>
      <c r="C42" s="12"/>
      <c r="D42" s="12">
        <v>888</v>
      </c>
      <c r="E42" s="12">
        <f>K34</f>
        <v>1138.4263109841484</v>
      </c>
      <c r="H42" t="s">
        <v>134</v>
      </c>
      <c r="I42">
        <f>746+786+1126+125+60</f>
        <v>2843</v>
      </c>
      <c r="J42">
        <f>I42/19</f>
        <v>149.63157894736841</v>
      </c>
    </row>
    <row r="43" spans="1:25" ht="25.5" x14ac:dyDescent="0.2">
      <c r="A43" s="30" t="s">
        <v>36</v>
      </c>
      <c r="C43" s="12">
        <f>+B13</f>
        <v>27629</v>
      </c>
      <c r="D43" s="12">
        <v>13200</v>
      </c>
      <c r="E43" s="12">
        <f>B17</f>
        <v>26779.5</v>
      </c>
      <c r="I43" t="s">
        <v>135</v>
      </c>
      <c r="J43" t="s">
        <v>136</v>
      </c>
    </row>
    <row r="44" spans="1:25" ht="38.25" x14ac:dyDescent="0.2">
      <c r="A44" s="30" t="s">
        <v>37</v>
      </c>
      <c r="C44" s="12"/>
      <c r="D44" s="12">
        <v>9770</v>
      </c>
      <c r="E44" s="12">
        <f>B19</f>
        <v>24987.9</v>
      </c>
    </row>
    <row r="45" spans="1:25" ht="38.25" x14ac:dyDescent="0.2">
      <c r="A45" s="30" t="s">
        <v>137</v>
      </c>
      <c r="C45" s="12"/>
      <c r="D45" s="12">
        <f>1200-888</f>
        <v>312</v>
      </c>
      <c r="E45" s="12">
        <f>+K36</f>
        <v>81.623689015851596</v>
      </c>
    </row>
    <row r="46" spans="1:25" x14ac:dyDescent="0.2">
      <c r="A46" s="30"/>
    </row>
    <row r="47" spans="1:25" ht="25.5" x14ac:dyDescent="0.2">
      <c r="A47" s="30" t="s">
        <v>38</v>
      </c>
    </row>
    <row r="48" spans="1:25" x14ac:dyDescent="0.2">
      <c r="A48" s="30"/>
    </row>
    <row r="49" spans="1:1" x14ac:dyDescent="0.2">
      <c r="A49" s="30"/>
    </row>
    <row r="50" spans="1:1" x14ac:dyDescent="0.2">
      <c r="A50" s="30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7"/>
  <sheetViews>
    <sheetView topLeftCell="A18" workbookViewId="0">
      <selection sqref="A1:L50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6" width="10.5703125" bestFit="1" customWidth="1"/>
    <col min="7" max="7" width="11" customWidth="1"/>
    <col min="8" max="8" width="11.5703125" bestFit="1" customWidth="1"/>
    <col min="9" max="10" width="8.42578125" bestFit="1" customWidth="1"/>
    <col min="11" max="11" width="10.28515625" customWidth="1"/>
  </cols>
  <sheetData>
    <row r="2" spans="1:11" x14ac:dyDescent="0.2">
      <c r="D2" t="s">
        <v>105</v>
      </c>
      <c r="E2" t="s">
        <v>2</v>
      </c>
      <c r="F2" t="s">
        <v>4</v>
      </c>
      <c r="K2" t="s">
        <v>138</v>
      </c>
    </row>
    <row r="3" spans="1:11" x14ac:dyDescent="0.2">
      <c r="D3" t="s">
        <v>139</v>
      </c>
      <c r="E3" t="s">
        <v>140</v>
      </c>
      <c r="F3" t="s">
        <v>141</v>
      </c>
    </row>
    <row r="4" spans="1:11" x14ac:dyDescent="0.2">
      <c r="B4" t="s">
        <v>42</v>
      </c>
      <c r="D4">
        <v>530</v>
      </c>
      <c r="E4">
        <v>845</v>
      </c>
      <c r="F4">
        <v>890</v>
      </c>
      <c r="G4" s="16"/>
      <c r="K4">
        <v>279.5</v>
      </c>
    </row>
    <row r="5" spans="1:11" x14ac:dyDescent="0.2">
      <c r="B5" t="s">
        <v>43</v>
      </c>
      <c r="D5">
        <f>D4*$A26</f>
        <v>3710</v>
      </c>
      <c r="E5">
        <f>E4*$A26</f>
        <v>5915</v>
      </c>
      <c r="F5">
        <f>F4*$A26</f>
        <v>6230</v>
      </c>
      <c r="K5">
        <f>K4*$A26</f>
        <v>1956.5</v>
      </c>
    </row>
    <row r="6" spans="1:11" x14ac:dyDescent="0.2">
      <c r="A6">
        <v>0.05</v>
      </c>
      <c r="B6" t="s">
        <v>44</v>
      </c>
      <c r="D6">
        <f>$A6*D5*-1</f>
        <v>-185.5</v>
      </c>
      <c r="E6">
        <f>$A6*E5*-1</f>
        <v>-295.75</v>
      </c>
      <c r="F6">
        <v>0</v>
      </c>
      <c r="K6" s="13" t="s">
        <v>142</v>
      </c>
    </row>
    <row r="7" spans="1:11" x14ac:dyDescent="0.2">
      <c r="A7">
        <v>0.7</v>
      </c>
      <c r="B7" t="s">
        <v>45</v>
      </c>
      <c r="D7">
        <f>$A7*D4</f>
        <v>371</v>
      </c>
      <c r="E7">
        <f>$A7*E4</f>
        <v>591.5</v>
      </c>
      <c r="F7">
        <f>$A7*F4</f>
        <v>623</v>
      </c>
      <c r="K7">
        <f>K4</f>
        <v>279.5</v>
      </c>
    </row>
    <row r="8" spans="1:11" x14ac:dyDescent="0.2">
      <c r="B8" t="s">
        <v>46</v>
      </c>
      <c r="D8">
        <v>264</v>
      </c>
      <c r="E8">
        <v>304</v>
      </c>
      <c r="F8">
        <v>304</v>
      </c>
      <c r="K8">
        <v>264</v>
      </c>
    </row>
    <row r="9" spans="1:11" x14ac:dyDescent="0.2">
      <c r="B9" t="s">
        <v>47</v>
      </c>
      <c r="D9">
        <v>0</v>
      </c>
      <c r="E9">
        <v>0</v>
      </c>
      <c r="F9">
        <v>0</v>
      </c>
      <c r="K9" s="13" t="s">
        <v>142</v>
      </c>
    </row>
    <row r="10" spans="1:11" x14ac:dyDescent="0.2">
      <c r="B10" t="s">
        <v>48</v>
      </c>
      <c r="D10">
        <v>100</v>
      </c>
      <c r="E10">
        <v>100</v>
      </c>
      <c r="F10">
        <v>94</v>
      </c>
      <c r="H10">
        <f>3525/0.65</f>
        <v>5423.0769230769229</v>
      </c>
      <c r="K10">
        <f>2*6*10</f>
        <v>120</v>
      </c>
    </row>
    <row r="11" spans="1:11" x14ac:dyDescent="0.2">
      <c r="B11" t="s">
        <v>143</v>
      </c>
      <c r="D11">
        <f>3440-1204</f>
        <v>2236</v>
      </c>
    </row>
    <row r="12" spans="1:11" x14ac:dyDescent="0.2">
      <c r="B12" t="s">
        <v>50</v>
      </c>
      <c r="D12" t="s">
        <v>144</v>
      </c>
      <c r="K12">
        <v>0</v>
      </c>
    </row>
    <row r="13" spans="1:11" x14ac:dyDescent="0.2">
      <c r="B13" t="s">
        <v>51</v>
      </c>
      <c r="D13">
        <v>0</v>
      </c>
      <c r="E13">
        <v>175</v>
      </c>
      <c r="F13">
        <v>175</v>
      </c>
      <c r="K13">
        <v>0</v>
      </c>
    </row>
    <row r="14" spans="1:11" x14ac:dyDescent="0.2">
      <c r="B14" t="s">
        <v>52</v>
      </c>
      <c r="D14">
        <v>0</v>
      </c>
      <c r="E14">
        <v>0</v>
      </c>
      <c r="F14">
        <v>0</v>
      </c>
      <c r="K14" s="13" t="s">
        <v>142</v>
      </c>
    </row>
    <row r="15" spans="1:11" x14ac:dyDescent="0.2">
      <c r="B15" t="s">
        <v>54</v>
      </c>
      <c r="D15">
        <v>0</v>
      </c>
      <c r="F15">
        <f>10*F21</f>
        <v>80</v>
      </c>
      <c r="G15" t="s">
        <v>145</v>
      </c>
      <c r="H15" t="s">
        <v>55</v>
      </c>
      <c r="K15">
        <v>0</v>
      </c>
    </row>
    <row r="16" spans="1:11" x14ac:dyDescent="0.2">
      <c r="C16" t="s">
        <v>56</v>
      </c>
      <c r="D16" s="23">
        <f>SUM(D8:D15)</f>
        <v>2600</v>
      </c>
      <c r="E16" s="23">
        <f>SUM(E5:E15)</f>
        <v>6789.75</v>
      </c>
      <c r="F16" s="23">
        <f>SUM(F5:F15)</f>
        <v>7506</v>
      </c>
      <c r="G16" s="23">
        <f>G18</f>
        <v>1084.6153846153845</v>
      </c>
      <c r="H16" s="23">
        <f>E16+D16+F16+G16</f>
        <v>17980.365384615383</v>
      </c>
      <c r="K16" s="23">
        <f>SUM(K5:K15)</f>
        <v>2620</v>
      </c>
    </row>
    <row r="17" spans="1:11" x14ac:dyDescent="0.2">
      <c r="C17" t="s">
        <v>146</v>
      </c>
      <c r="D17" s="23">
        <f>D16-G18</f>
        <v>1515.3846153846155</v>
      </c>
      <c r="E17" s="23"/>
      <c r="F17" s="23"/>
      <c r="G17" s="23"/>
      <c r="H17" s="23"/>
      <c r="K17" s="23"/>
    </row>
    <row r="18" spans="1:11" x14ac:dyDescent="0.2">
      <c r="D18" t="s">
        <v>147</v>
      </c>
      <c r="G18">
        <f>(3525/(1-0.35))*0.3*4/6</f>
        <v>1084.6153846153845</v>
      </c>
      <c r="H18" t="s">
        <v>148</v>
      </c>
      <c r="I18">
        <f>G18/4</f>
        <v>271.15384615384613</v>
      </c>
    </row>
    <row r="19" spans="1:11" x14ac:dyDescent="0.2">
      <c r="E19" t="s">
        <v>57</v>
      </c>
      <c r="H19" s="1">
        <f>H16/A24/A26</f>
        <v>107.02598443223442</v>
      </c>
      <c r="I19" s="1">
        <f>H19*2</f>
        <v>214.05196886446885</v>
      </c>
      <c r="J19" t="s">
        <v>58</v>
      </c>
    </row>
    <row r="21" spans="1:11" x14ac:dyDescent="0.2">
      <c r="A21" s="17" t="s">
        <v>59</v>
      </c>
      <c r="B21" s="17"/>
      <c r="C21" s="17" t="s">
        <v>60</v>
      </c>
      <c r="D21" s="17">
        <v>5</v>
      </c>
      <c r="E21" s="17">
        <v>10</v>
      </c>
      <c r="F21" s="17">
        <v>8</v>
      </c>
      <c r="G21" s="1"/>
      <c r="H21" s="1"/>
      <c r="I21" s="1"/>
    </row>
    <row r="22" spans="1:11" x14ac:dyDescent="0.2">
      <c r="A22" s="17"/>
      <c r="B22" s="17"/>
      <c r="C22" s="17" t="s">
        <v>61</v>
      </c>
      <c r="D22" s="22">
        <f>D16/D21</f>
        <v>520</v>
      </c>
      <c r="E22" s="22">
        <f>E16/E21</f>
        <v>678.97500000000002</v>
      </c>
      <c r="F22" s="22">
        <f>F16/F21</f>
        <v>938.25</v>
      </c>
      <c r="G22" s="21" t="s">
        <v>149</v>
      </c>
      <c r="H22" s="1"/>
      <c r="I22" s="1"/>
    </row>
    <row r="23" spans="1:11" x14ac:dyDescent="0.2">
      <c r="A23" s="17"/>
      <c r="B23" s="17"/>
      <c r="C23" s="17"/>
      <c r="D23" s="17"/>
      <c r="E23" s="17"/>
      <c r="F23" s="17"/>
      <c r="G23" s="21"/>
      <c r="H23" s="1"/>
      <c r="I23" s="1"/>
    </row>
    <row r="24" spans="1:11" x14ac:dyDescent="0.2">
      <c r="A24" s="18">
        <v>24</v>
      </c>
      <c r="B24" s="18" t="s">
        <v>62</v>
      </c>
      <c r="C24" s="18"/>
      <c r="D24" s="18"/>
      <c r="E24" s="18"/>
      <c r="F24" s="18"/>
      <c r="G24" s="18"/>
      <c r="H24" s="18"/>
    </row>
    <row r="25" spans="1:11" x14ac:dyDescent="0.2">
      <c r="A25" s="18">
        <v>4</v>
      </c>
      <c r="B25" s="18" t="s">
        <v>63</v>
      </c>
      <c r="C25" s="18"/>
      <c r="D25" s="18"/>
      <c r="E25" s="18"/>
      <c r="F25" s="18"/>
      <c r="G25" s="18"/>
      <c r="H25" s="18"/>
    </row>
    <row r="26" spans="1:11" x14ac:dyDescent="0.2">
      <c r="A26" s="18">
        <v>7</v>
      </c>
      <c r="B26" s="18" t="s">
        <v>64</v>
      </c>
      <c r="C26" s="18"/>
      <c r="D26" s="18"/>
      <c r="E26" s="18"/>
      <c r="F26" s="18"/>
      <c r="G26" s="18"/>
      <c r="H26" s="18"/>
    </row>
    <row r="27" spans="1:11" x14ac:dyDescent="0.2">
      <c r="A27" s="18"/>
      <c r="B27" s="18"/>
      <c r="C27" s="18"/>
      <c r="D27" s="18"/>
      <c r="E27" s="18"/>
      <c r="F27" s="18"/>
      <c r="G27" s="18"/>
      <c r="H27" s="18"/>
      <c r="K27">
        <f>1660/6</f>
        <v>276.66666666666669</v>
      </c>
    </row>
    <row r="28" spans="1:11" x14ac:dyDescent="0.2">
      <c r="A28" s="18"/>
      <c r="B28" s="18"/>
      <c r="C28" s="18"/>
      <c r="D28" s="18"/>
      <c r="E28" s="18"/>
      <c r="F28" s="18"/>
      <c r="G28" s="18" t="s">
        <v>65</v>
      </c>
      <c r="H28" s="18" t="s">
        <v>150</v>
      </c>
    </row>
    <row r="29" spans="1:11" x14ac:dyDescent="0.2">
      <c r="A29" s="18" t="s">
        <v>66</v>
      </c>
      <c r="B29" s="18"/>
      <c r="C29" s="19"/>
      <c r="D29" s="19"/>
      <c r="E29" s="18" t="s">
        <v>55</v>
      </c>
      <c r="F29" s="19"/>
      <c r="G29" s="19">
        <f>$H$16/$A$24</f>
        <v>749.18189102564099</v>
      </c>
      <c r="H29" s="19">
        <f>$H$16/$A$24</f>
        <v>749.18189102564099</v>
      </c>
      <c r="I29" s="1"/>
      <c r="K29">
        <f>196+20+200</f>
        <v>416</v>
      </c>
    </row>
    <row r="30" spans="1:11" x14ac:dyDescent="0.2">
      <c r="A30" s="18" t="s">
        <v>151</v>
      </c>
      <c r="B30" s="18"/>
      <c r="C30" s="19" t="s">
        <v>68</v>
      </c>
      <c r="D30" s="19">
        <v>28</v>
      </c>
      <c r="E30" s="20"/>
      <c r="F30" s="19"/>
      <c r="G30" s="19">
        <f>D30*$A$26</f>
        <v>196</v>
      </c>
      <c r="H30" s="19">
        <f>D30*$A$26/2</f>
        <v>98</v>
      </c>
      <c r="I30" s="1"/>
      <c r="K30">
        <f>E5+E6</f>
        <v>5619.25</v>
      </c>
    </row>
    <row r="31" spans="1:11" x14ac:dyDescent="0.2">
      <c r="A31" s="18"/>
      <c r="B31" s="18" t="s">
        <v>69</v>
      </c>
      <c r="C31" s="19" t="s">
        <v>68</v>
      </c>
      <c r="D31" s="19">
        <f>D30*0.1</f>
        <v>2.8000000000000003</v>
      </c>
      <c r="E31" s="18"/>
      <c r="F31" s="19"/>
      <c r="G31" s="19">
        <f>D31*$A$26</f>
        <v>19.600000000000001</v>
      </c>
      <c r="H31" s="19">
        <f>D31*$A$26/2</f>
        <v>9.8000000000000007</v>
      </c>
      <c r="I31" s="1"/>
    </row>
    <row r="32" spans="1:11" x14ac:dyDescent="0.2">
      <c r="A32" s="18"/>
      <c r="B32" s="18"/>
      <c r="C32" s="19"/>
      <c r="D32" s="19"/>
      <c r="E32" s="18"/>
      <c r="F32" s="19"/>
      <c r="G32" s="19"/>
      <c r="H32" s="19"/>
      <c r="I32" s="1"/>
    </row>
    <row r="33" spans="1:9" x14ac:dyDescent="0.2">
      <c r="A33" s="18" t="s">
        <v>70</v>
      </c>
      <c r="B33" s="18"/>
      <c r="C33" s="19" t="s">
        <v>71</v>
      </c>
      <c r="D33" s="19">
        <v>200</v>
      </c>
      <c r="E33" s="18"/>
      <c r="F33" s="19"/>
      <c r="G33" s="19">
        <f>D33</f>
        <v>200</v>
      </c>
      <c r="H33" s="19">
        <v>30</v>
      </c>
      <c r="I33" s="1"/>
    </row>
    <row r="34" spans="1:9" x14ac:dyDescent="0.2">
      <c r="A34" s="18" t="s">
        <v>72</v>
      </c>
      <c r="B34" s="18"/>
      <c r="C34" s="19"/>
      <c r="D34" s="19">
        <v>0</v>
      </c>
      <c r="E34" s="18"/>
      <c r="F34" s="19"/>
      <c r="G34" s="19">
        <v>0</v>
      </c>
      <c r="H34" s="19">
        <v>0</v>
      </c>
      <c r="I34" s="1"/>
    </row>
    <row r="35" spans="1:9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9" x14ac:dyDescent="0.2">
      <c r="A36" s="18"/>
      <c r="B36" s="18"/>
      <c r="C36" s="19"/>
      <c r="D36" s="19"/>
      <c r="E36" s="18" t="s">
        <v>73</v>
      </c>
      <c r="F36" s="19"/>
      <c r="G36" s="19">
        <f>SUM(G29:G35)</f>
        <v>1164.781891025641</v>
      </c>
      <c r="H36" s="19">
        <f>SUM(H29:H35)</f>
        <v>886.98189102564095</v>
      </c>
      <c r="I36" s="1">
        <f>G36-H36</f>
        <v>277.80000000000007</v>
      </c>
    </row>
    <row r="37" spans="1:9" x14ac:dyDescent="0.2">
      <c r="C37" s="1"/>
      <c r="D37" s="1"/>
      <c r="F37" s="1"/>
      <c r="G37" s="1"/>
      <c r="H37" s="1"/>
      <c r="I37" s="1"/>
    </row>
    <row r="38" spans="1:9" x14ac:dyDescent="0.2">
      <c r="A38" t="s">
        <v>152</v>
      </c>
      <c r="C38" s="1"/>
      <c r="D38" s="1"/>
      <c r="E38" s="1"/>
      <c r="F38" t="s">
        <v>153</v>
      </c>
      <c r="G38" s="1"/>
      <c r="H38" s="1"/>
      <c r="I38" s="1"/>
    </row>
    <row r="39" spans="1:9" x14ac:dyDescent="0.2">
      <c r="A39" t="s">
        <v>154</v>
      </c>
      <c r="C39" s="1"/>
      <c r="D39" s="1"/>
      <c r="E39" s="1"/>
      <c r="G39" s="23">
        <f>(D7+E7+F7)/A24</f>
        <v>66.0625</v>
      </c>
      <c r="H39" s="1"/>
      <c r="I39" s="1"/>
    </row>
    <row r="40" spans="1:9" x14ac:dyDescent="0.2">
      <c r="A40" t="s">
        <v>155</v>
      </c>
      <c r="C40" s="1"/>
      <c r="D40" s="1"/>
      <c r="E40" s="1"/>
      <c r="F40" s="1"/>
      <c r="G40" s="1"/>
      <c r="H40" s="1"/>
      <c r="I40" s="1"/>
    </row>
    <row r="41" spans="1:9" x14ac:dyDescent="0.2">
      <c r="C41" s="1"/>
      <c r="D41" s="1"/>
      <c r="E41" s="1"/>
      <c r="F41" s="1"/>
      <c r="G41" s="1"/>
      <c r="H41" s="1"/>
      <c r="I41" s="1"/>
    </row>
    <row r="42" spans="1:9" x14ac:dyDescent="0.2">
      <c r="C42" s="1"/>
      <c r="D42" s="1"/>
      <c r="E42" s="1"/>
      <c r="F42" s="1"/>
      <c r="G42" s="1"/>
      <c r="H42" s="1"/>
      <c r="I42" s="1"/>
    </row>
    <row r="43" spans="1:9" x14ac:dyDescent="0.2">
      <c r="C43" s="1"/>
      <c r="D43" s="1"/>
      <c r="E43" s="1"/>
      <c r="F43" s="1"/>
      <c r="G43" s="1"/>
      <c r="H43" s="1"/>
      <c r="I43" s="1"/>
    </row>
    <row r="44" spans="1:9" x14ac:dyDescent="0.2">
      <c r="C44" s="1"/>
      <c r="D44" s="1"/>
      <c r="E44" s="1"/>
      <c r="F44" s="1"/>
      <c r="G44" s="1"/>
      <c r="H44" s="1"/>
      <c r="I44" s="1"/>
    </row>
    <row r="45" spans="1:9" x14ac:dyDescent="0.2">
      <c r="C45" s="1"/>
      <c r="D45" s="1"/>
      <c r="E45" s="1"/>
      <c r="F45" s="1"/>
      <c r="G45" s="1"/>
      <c r="H45" s="1"/>
      <c r="I45" s="1"/>
    </row>
    <row r="46" spans="1:9" x14ac:dyDescent="0.2">
      <c r="C46" s="1"/>
      <c r="D46" s="1"/>
      <c r="E46" s="1"/>
      <c r="F46" s="1"/>
      <c r="G46" s="1"/>
      <c r="H46" s="1"/>
      <c r="I46" s="1"/>
    </row>
    <row r="47" spans="1:9" x14ac:dyDescent="0.2">
      <c r="C47" s="1"/>
      <c r="D47" s="1"/>
      <c r="E47" s="1"/>
      <c r="F47" s="1"/>
      <c r="G47" s="1"/>
      <c r="H47" s="1"/>
      <c r="I47" s="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workbookViewId="0">
      <selection activeCell="M21" sqref="M21"/>
    </sheetView>
  </sheetViews>
  <sheetFormatPr defaultColWidth="8.42578125" defaultRowHeight="12.75" x14ac:dyDescent="0.2"/>
  <cols>
    <col min="1" max="2" width="6.140625" customWidth="1"/>
    <col min="3" max="3" width="4.7109375" customWidth="1"/>
    <col min="4" max="4" width="23.28515625" customWidth="1"/>
    <col min="5" max="8" width="8.42578125" bestFit="1" customWidth="1"/>
    <col min="9" max="9" width="4.85546875" customWidth="1"/>
  </cols>
  <sheetData>
    <row r="1" spans="1:11" x14ac:dyDescent="0.2">
      <c r="D1" t="s">
        <v>156</v>
      </c>
      <c r="H1" t="s">
        <v>157</v>
      </c>
    </row>
    <row r="2" spans="1:11" x14ac:dyDescent="0.2">
      <c r="A2" t="s">
        <v>158</v>
      </c>
      <c r="B2" t="s">
        <v>159</v>
      </c>
      <c r="J2">
        <v>80</v>
      </c>
      <c r="K2" t="s">
        <v>160</v>
      </c>
    </row>
    <row r="3" spans="1:11" x14ac:dyDescent="0.2">
      <c r="E3" t="s">
        <v>161</v>
      </c>
      <c r="F3" t="s">
        <v>162</v>
      </c>
      <c r="G3" t="s">
        <v>163</v>
      </c>
      <c r="H3" t="s">
        <v>164</v>
      </c>
      <c r="J3" t="s">
        <v>165</v>
      </c>
      <c r="K3" t="s">
        <v>166</v>
      </c>
    </row>
    <row r="4" spans="1:11" x14ac:dyDescent="0.2">
      <c r="C4" t="s">
        <v>167</v>
      </c>
      <c r="F4" t="s">
        <v>168</v>
      </c>
      <c r="H4" t="s">
        <v>168</v>
      </c>
      <c r="J4" t="s">
        <v>169</v>
      </c>
      <c r="K4" t="s">
        <v>169</v>
      </c>
    </row>
    <row r="5" spans="1:11" x14ac:dyDescent="0.2">
      <c r="A5">
        <v>2</v>
      </c>
      <c r="B5">
        <v>1</v>
      </c>
      <c r="D5" t="s">
        <v>170</v>
      </c>
      <c r="E5" t="s">
        <v>171</v>
      </c>
      <c r="F5">
        <v>140</v>
      </c>
      <c r="G5">
        <f t="shared" ref="G5:G17" si="0">A5+B5</f>
        <v>3</v>
      </c>
      <c r="H5">
        <f t="shared" ref="H5:H17" si="1">F5*G5</f>
        <v>420</v>
      </c>
      <c r="J5" s="6">
        <f t="shared" ref="J5:J17" si="2">F5/$J$2</f>
        <v>1.75</v>
      </c>
      <c r="K5" s="6">
        <f t="shared" ref="K5:K18" si="3">H5/$J$2</f>
        <v>5.25</v>
      </c>
    </row>
    <row r="6" spans="1:11" x14ac:dyDescent="0.2">
      <c r="A6">
        <v>1</v>
      </c>
      <c r="D6" t="s">
        <v>172</v>
      </c>
      <c r="E6" t="s">
        <v>173</v>
      </c>
      <c r="F6">
        <v>180</v>
      </c>
      <c r="G6">
        <f t="shared" si="0"/>
        <v>1</v>
      </c>
      <c r="H6">
        <f t="shared" si="1"/>
        <v>180</v>
      </c>
      <c r="J6" s="6">
        <f t="shared" si="2"/>
        <v>2.25</v>
      </c>
      <c r="K6" s="6">
        <f t="shared" si="3"/>
        <v>2.25</v>
      </c>
    </row>
    <row r="7" spans="1:11" x14ac:dyDescent="0.2">
      <c r="D7" t="s">
        <v>174</v>
      </c>
      <c r="E7" t="s">
        <v>173</v>
      </c>
      <c r="F7">
        <v>290</v>
      </c>
      <c r="G7">
        <f t="shared" si="0"/>
        <v>0</v>
      </c>
      <c r="H7">
        <f t="shared" si="1"/>
        <v>0</v>
      </c>
      <c r="J7" s="6">
        <f t="shared" si="2"/>
        <v>3.625</v>
      </c>
      <c r="K7" s="6">
        <f t="shared" si="3"/>
        <v>0</v>
      </c>
    </row>
    <row r="8" spans="1:11" x14ac:dyDescent="0.2">
      <c r="D8" t="s">
        <v>175</v>
      </c>
      <c r="E8" t="s">
        <v>173</v>
      </c>
      <c r="F8">
        <v>315</v>
      </c>
      <c r="G8">
        <f t="shared" si="0"/>
        <v>0</v>
      </c>
      <c r="H8">
        <f t="shared" si="1"/>
        <v>0</v>
      </c>
      <c r="J8" s="6">
        <f t="shared" si="2"/>
        <v>3.9375</v>
      </c>
      <c r="K8" s="6">
        <f t="shared" si="3"/>
        <v>0</v>
      </c>
    </row>
    <row r="9" spans="1:11" x14ac:dyDescent="0.2">
      <c r="D9" t="s">
        <v>176</v>
      </c>
      <c r="E9" t="s">
        <v>173</v>
      </c>
      <c r="F9">
        <v>315</v>
      </c>
      <c r="G9">
        <f t="shared" si="0"/>
        <v>0</v>
      </c>
      <c r="H9">
        <f t="shared" si="1"/>
        <v>0</v>
      </c>
      <c r="J9" s="6">
        <f t="shared" si="2"/>
        <v>3.9375</v>
      </c>
      <c r="K9" s="6">
        <f t="shared" si="3"/>
        <v>0</v>
      </c>
    </row>
    <row r="10" spans="1:11" x14ac:dyDescent="0.2">
      <c r="D10" t="s">
        <v>177</v>
      </c>
      <c r="E10" t="s">
        <v>171</v>
      </c>
      <c r="F10">
        <v>435</v>
      </c>
      <c r="G10">
        <f t="shared" si="0"/>
        <v>0</v>
      </c>
      <c r="H10">
        <f t="shared" si="1"/>
        <v>0</v>
      </c>
      <c r="J10" s="6">
        <f t="shared" si="2"/>
        <v>5.4375</v>
      </c>
      <c r="K10" s="6">
        <f t="shared" si="3"/>
        <v>0</v>
      </c>
    </row>
    <row r="11" spans="1:11" x14ac:dyDescent="0.2">
      <c r="D11" t="s">
        <v>177</v>
      </c>
      <c r="E11" t="s">
        <v>178</v>
      </c>
      <c r="F11">
        <v>125</v>
      </c>
      <c r="G11">
        <f t="shared" si="0"/>
        <v>0</v>
      </c>
      <c r="H11">
        <f t="shared" si="1"/>
        <v>0</v>
      </c>
      <c r="J11" s="6">
        <f t="shared" si="2"/>
        <v>1.5625</v>
      </c>
      <c r="K11" s="6">
        <f t="shared" si="3"/>
        <v>0</v>
      </c>
    </row>
    <row r="12" spans="1:11" x14ac:dyDescent="0.2">
      <c r="D12" t="s">
        <v>179</v>
      </c>
      <c r="E12" t="s">
        <v>171</v>
      </c>
      <c r="F12">
        <v>435</v>
      </c>
      <c r="G12">
        <f t="shared" si="0"/>
        <v>0</v>
      </c>
      <c r="H12">
        <f t="shared" si="1"/>
        <v>0</v>
      </c>
      <c r="J12" s="6">
        <f t="shared" si="2"/>
        <v>5.4375</v>
      </c>
      <c r="K12" s="6">
        <f t="shared" si="3"/>
        <v>0</v>
      </c>
    </row>
    <row r="13" spans="1:11" x14ac:dyDescent="0.2">
      <c r="D13" t="s">
        <v>180</v>
      </c>
      <c r="E13" t="s">
        <v>178</v>
      </c>
      <c r="F13">
        <v>125</v>
      </c>
      <c r="G13">
        <f t="shared" si="0"/>
        <v>0</v>
      </c>
      <c r="H13">
        <f t="shared" si="1"/>
        <v>0</v>
      </c>
      <c r="J13" s="6">
        <f t="shared" si="2"/>
        <v>1.5625</v>
      </c>
      <c r="K13" s="6">
        <f t="shared" si="3"/>
        <v>0</v>
      </c>
    </row>
    <row r="14" spans="1:11" x14ac:dyDescent="0.2">
      <c r="D14" t="s">
        <v>181</v>
      </c>
      <c r="E14" t="s">
        <v>171</v>
      </c>
      <c r="F14">
        <v>435</v>
      </c>
      <c r="G14">
        <f t="shared" si="0"/>
        <v>0</v>
      </c>
      <c r="H14">
        <f t="shared" si="1"/>
        <v>0</v>
      </c>
      <c r="J14" s="6">
        <f t="shared" si="2"/>
        <v>5.4375</v>
      </c>
      <c r="K14" s="6">
        <f t="shared" si="3"/>
        <v>0</v>
      </c>
    </row>
    <row r="15" spans="1:11" x14ac:dyDescent="0.2">
      <c r="D15" t="s">
        <v>182</v>
      </c>
      <c r="E15" t="s">
        <v>178</v>
      </c>
      <c r="F15">
        <v>125</v>
      </c>
      <c r="G15">
        <f t="shared" si="0"/>
        <v>0</v>
      </c>
      <c r="H15">
        <f t="shared" si="1"/>
        <v>0</v>
      </c>
      <c r="J15" s="6">
        <f t="shared" si="2"/>
        <v>1.5625</v>
      </c>
      <c r="K15" s="6">
        <f t="shared" si="3"/>
        <v>0</v>
      </c>
    </row>
    <row r="16" spans="1:11" x14ac:dyDescent="0.2">
      <c r="D16" t="s">
        <v>183</v>
      </c>
      <c r="E16" t="s">
        <v>171</v>
      </c>
      <c r="F16">
        <v>435</v>
      </c>
      <c r="G16">
        <f t="shared" si="0"/>
        <v>0</v>
      </c>
      <c r="H16">
        <f t="shared" si="1"/>
        <v>0</v>
      </c>
      <c r="J16" s="6">
        <f t="shared" si="2"/>
        <v>5.4375</v>
      </c>
      <c r="K16" s="6">
        <f t="shared" si="3"/>
        <v>0</v>
      </c>
    </row>
    <row r="17" spans="1:11" x14ac:dyDescent="0.2">
      <c r="D17" t="s">
        <v>183</v>
      </c>
      <c r="E17" t="s">
        <v>178</v>
      </c>
      <c r="F17">
        <v>125</v>
      </c>
      <c r="G17">
        <f t="shared" si="0"/>
        <v>0</v>
      </c>
      <c r="H17">
        <f t="shared" si="1"/>
        <v>0</v>
      </c>
      <c r="J17" s="6">
        <f t="shared" si="2"/>
        <v>1.5625</v>
      </c>
      <c r="K17" s="6">
        <f t="shared" si="3"/>
        <v>0</v>
      </c>
    </row>
    <row r="18" spans="1:11" x14ac:dyDescent="0.2">
      <c r="H18">
        <f>SUM(H5:H17)</f>
        <v>600</v>
      </c>
      <c r="J18" s="6"/>
      <c r="K18" s="6">
        <f t="shared" si="3"/>
        <v>7.5</v>
      </c>
    </row>
    <row r="19" spans="1:11" x14ac:dyDescent="0.2">
      <c r="C19" t="s">
        <v>184</v>
      </c>
      <c r="J19" s="6"/>
      <c r="K19" s="6"/>
    </row>
    <row r="20" spans="1:11" x14ac:dyDescent="0.2">
      <c r="A20">
        <v>1</v>
      </c>
      <c r="D20" t="s">
        <v>185</v>
      </c>
      <c r="E20" t="s">
        <v>178</v>
      </c>
      <c r="F20">
        <v>230</v>
      </c>
      <c r="G20">
        <f t="shared" ref="G20:G26" si="4">A20+B20</f>
        <v>1</v>
      </c>
      <c r="H20">
        <f t="shared" ref="H20:H26" si="5">F20*G20</f>
        <v>230</v>
      </c>
      <c r="J20" s="6">
        <f t="shared" ref="J20:J26" si="6">F20/$J$2</f>
        <v>2.875</v>
      </c>
      <c r="K20" s="6">
        <f t="shared" ref="K20:K27" si="7">H20/$J$2</f>
        <v>2.875</v>
      </c>
    </row>
    <row r="21" spans="1:11" x14ac:dyDescent="0.2">
      <c r="D21" t="s">
        <v>186</v>
      </c>
      <c r="E21" t="s">
        <v>173</v>
      </c>
      <c r="F21">
        <v>3680</v>
      </c>
      <c r="G21">
        <f t="shared" si="4"/>
        <v>0</v>
      </c>
      <c r="H21">
        <f t="shared" si="5"/>
        <v>0</v>
      </c>
      <c r="J21" s="6">
        <f t="shared" si="6"/>
        <v>46</v>
      </c>
      <c r="K21" s="6">
        <f t="shared" si="7"/>
        <v>0</v>
      </c>
    </row>
    <row r="22" spans="1:11" x14ac:dyDescent="0.2">
      <c r="D22" t="s">
        <v>187</v>
      </c>
      <c r="E22" t="s">
        <v>173</v>
      </c>
      <c r="F22">
        <v>3680</v>
      </c>
      <c r="G22">
        <f t="shared" si="4"/>
        <v>0</v>
      </c>
      <c r="H22">
        <f t="shared" si="5"/>
        <v>0</v>
      </c>
      <c r="J22" s="6">
        <f t="shared" si="6"/>
        <v>46</v>
      </c>
      <c r="K22" s="6">
        <f t="shared" si="7"/>
        <v>0</v>
      </c>
    </row>
    <row r="23" spans="1:11" x14ac:dyDescent="0.2">
      <c r="D23" t="s">
        <v>188</v>
      </c>
      <c r="E23" t="s">
        <v>173</v>
      </c>
      <c r="F23">
        <v>3680</v>
      </c>
      <c r="G23">
        <f t="shared" si="4"/>
        <v>0</v>
      </c>
      <c r="H23">
        <f t="shared" si="5"/>
        <v>0</v>
      </c>
      <c r="J23" s="6">
        <f t="shared" si="6"/>
        <v>46</v>
      </c>
      <c r="K23" s="6">
        <f t="shared" si="7"/>
        <v>0</v>
      </c>
    </row>
    <row r="24" spans="1:11" x14ac:dyDescent="0.2">
      <c r="D24" t="s">
        <v>189</v>
      </c>
      <c r="E24" t="s">
        <v>190</v>
      </c>
      <c r="F24">
        <v>1090</v>
      </c>
      <c r="G24">
        <f t="shared" si="4"/>
        <v>0</v>
      </c>
      <c r="H24">
        <f t="shared" si="5"/>
        <v>0</v>
      </c>
      <c r="J24" s="6">
        <f t="shared" si="6"/>
        <v>13.625</v>
      </c>
      <c r="K24" s="6">
        <f t="shared" si="7"/>
        <v>0</v>
      </c>
    </row>
    <row r="25" spans="1:11" x14ac:dyDescent="0.2">
      <c r="D25" t="s">
        <v>191</v>
      </c>
      <c r="E25" t="s">
        <v>190</v>
      </c>
      <c r="F25">
        <v>1090</v>
      </c>
      <c r="G25">
        <f t="shared" si="4"/>
        <v>0</v>
      </c>
      <c r="H25">
        <f t="shared" si="5"/>
        <v>0</v>
      </c>
      <c r="J25" s="6">
        <f t="shared" si="6"/>
        <v>13.625</v>
      </c>
      <c r="K25" s="6">
        <f t="shared" si="7"/>
        <v>0</v>
      </c>
    </row>
    <row r="26" spans="1:11" x14ac:dyDescent="0.2">
      <c r="D26" t="s">
        <v>192</v>
      </c>
      <c r="E26" t="s">
        <v>190</v>
      </c>
      <c r="F26">
        <v>1090</v>
      </c>
      <c r="G26">
        <f t="shared" si="4"/>
        <v>0</v>
      </c>
      <c r="H26">
        <f t="shared" si="5"/>
        <v>0</v>
      </c>
      <c r="J26" s="6">
        <f t="shared" si="6"/>
        <v>13.625</v>
      </c>
      <c r="K26" s="6">
        <f t="shared" si="7"/>
        <v>0</v>
      </c>
    </row>
    <row r="27" spans="1:11" x14ac:dyDescent="0.2">
      <c r="H27">
        <f>SUM(H20:H26)</f>
        <v>230</v>
      </c>
      <c r="J27" s="6"/>
      <c r="K27" s="6">
        <f t="shared" si="7"/>
        <v>2.875</v>
      </c>
    </row>
    <row r="28" spans="1:11" x14ac:dyDescent="0.2">
      <c r="C28" t="s">
        <v>193</v>
      </c>
      <c r="J28" s="6"/>
      <c r="K28" s="6"/>
    </row>
    <row r="29" spans="1:11" x14ac:dyDescent="0.2">
      <c r="A29">
        <v>1</v>
      </c>
      <c r="D29" t="s">
        <v>194</v>
      </c>
      <c r="E29" t="s">
        <v>195</v>
      </c>
      <c r="F29">
        <v>215</v>
      </c>
      <c r="G29">
        <f t="shared" ref="G29:G36" si="8">A29+B29</f>
        <v>1</v>
      </c>
      <c r="H29">
        <f t="shared" ref="H29:H36" si="9">F29*G29</f>
        <v>215</v>
      </c>
      <c r="J29" s="6">
        <f t="shared" ref="J29:J36" si="10">F29/$J$2</f>
        <v>2.6875</v>
      </c>
      <c r="K29" s="6">
        <f t="shared" ref="K29:K37" si="11">H29/$J$2</f>
        <v>2.6875</v>
      </c>
    </row>
    <row r="30" spans="1:11" x14ac:dyDescent="0.2">
      <c r="D30" t="s">
        <v>196</v>
      </c>
      <c r="E30" t="s">
        <v>197</v>
      </c>
      <c r="F30">
        <v>295</v>
      </c>
      <c r="G30">
        <f t="shared" si="8"/>
        <v>0</v>
      </c>
      <c r="H30">
        <f t="shared" si="9"/>
        <v>0</v>
      </c>
      <c r="J30" s="6">
        <f t="shared" si="10"/>
        <v>3.6875</v>
      </c>
      <c r="K30" s="6">
        <f t="shared" si="11"/>
        <v>0</v>
      </c>
    </row>
    <row r="31" spans="1:11" x14ac:dyDescent="0.2">
      <c r="D31" t="s">
        <v>198</v>
      </c>
      <c r="E31" t="s">
        <v>197</v>
      </c>
      <c r="F31">
        <v>140</v>
      </c>
      <c r="G31">
        <f t="shared" si="8"/>
        <v>0</v>
      </c>
      <c r="H31">
        <f t="shared" si="9"/>
        <v>0</v>
      </c>
      <c r="J31" s="6">
        <f t="shared" si="10"/>
        <v>1.75</v>
      </c>
      <c r="K31" s="6">
        <f t="shared" si="11"/>
        <v>0</v>
      </c>
    </row>
    <row r="32" spans="1:11" x14ac:dyDescent="0.2">
      <c r="D32" t="s">
        <v>199</v>
      </c>
      <c r="E32" t="s">
        <v>200</v>
      </c>
      <c r="F32">
        <v>150</v>
      </c>
      <c r="G32">
        <f t="shared" si="8"/>
        <v>0</v>
      </c>
      <c r="H32">
        <f t="shared" si="9"/>
        <v>0</v>
      </c>
      <c r="J32" s="6">
        <f t="shared" si="10"/>
        <v>1.875</v>
      </c>
      <c r="K32" s="6">
        <f t="shared" si="11"/>
        <v>0</v>
      </c>
    </row>
    <row r="33" spans="1:11" x14ac:dyDescent="0.2">
      <c r="D33" t="s">
        <v>201</v>
      </c>
      <c r="E33" t="s">
        <v>202</v>
      </c>
      <c r="F33">
        <v>310</v>
      </c>
      <c r="G33">
        <f t="shared" si="8"/>
        <v>0</v>
      </c>
      <c r="H33">
        <f t="shared" si="9"/>
        <v>0</v>
      </c>
      <c r="J33" s="6">
        <f t="shared" si="10"/>
        <v>3.875</v>
      </c>
      <c r="K33" s="6">
        <f t="shared" si="11"/>
        <v>0</v>
      </c>
    </row>
    <row r="34" spans="1:11" x14ac:dyDescent="0.2">
      <c r="D34" t="s">
        <v>203</v>
      </c>
      <c r="E34" t="s">
        <v>204</v>
      </c>
      <c r="F34">
        <v>480</v>
      </c>
      <c r="G34">
        <f t="shared" si="8"/>
        <v>0</v>
      </c>
      <c r="H34">
        <f t="shared" si="9"/>
        <v>0</v>
      </c>
      <c r="J34" s="6">
        <f t="shared" si="10"/>
        <v>6</v>
      </c>
      <c r="K34" s="6">
        <f t="shared" si="11"/>
        <v>0</v>
      </c>
    </row>
    <row r="35" spans="1:11" x14ac:dyDescent="0.2">
      <c r="D35" t="s">
        <v>205</v>
      </c>
      <c r="E35" t="s">
        <v>202</v>
      </c>
      <c r="F35">
        <v>360</v>
      </c>
      <c r="G35">
        <f t="shared" si="8"/>
        <v>0</v>
      </c>
      <c r="H35">
        <f t="shared" si="9"/>
        <v>0</v>
      </c>
      <c r="J35" s="6">
        <f t="shared" si="10"/>
        <v>4.5</v>
      </c>
      <c r="K35" s="6">
        <f t="shared" si="11"/>
        <v>0</v>
      </c>
    </row>
    <row r="36" spans="1:11" x14ac:dyDescent="0.2">
      <c r="D36" t="s">
        <v>206</v>
      </c>
      <c r="E36" t="s">
        <v>207</v>
      </c>
      <c r="F36">
        <v>310</v>
      </c>
      <c r="G36">
        <f t="shared" si="8"/>
        <v>0</v>
      </c>
      <c r="H36">
        <f t="shared" si="9"/>
        <v>0</v>
      </c>
      <c r="J36" s="6">
        <f t="shared" si="10"/>
        <v>3.875</v>
      </c>
      <c r="K36" s="6">
        <f t="shared" si="11"/>
        <v>0</v>
      </c>
    </row>
    <row r="37" spans="1:11" x14ac:dyDescent="0.2">
      <c r="H37">
        <f>SUM(H29:H36)</f>
        <v>215</v>
      </c>
      <c r="J37" s="6"/>
      <c r="K37" s="6">
        <f t="shared" si="11"/>
        <v>2.6875</v>
      </c>
    </row>
    <row r="38" spans="1:11" x14ac:dyDescent="0.2">
      <c r="C38" t="s">
        <v>208</v>
      </c>
      <c r="J38" s="6"/>
      <c r="K38" s="6"/>
    </row>
    <row r="39" spans="1:11" x14ac:dyDescent="0.2">
      <c r="D39" t="s">
        <v>209</v>
      </c>
      <c r="E39" t="s">
        <v>210</v>
      </c>
      <c r="F39">
        <v>115</v>
      </c>
      <c r="G39">
        <f t="shared" ref="G39:G48" si="12">A39+B39</f>
        <v>0</v>
      </c>
      <c r="H39">
        <f t="shared" ref="H39:H48" si="13">F39*G39</f>
        <v>0</v>
      </c>
      <c r="J39" s="6">
        <f t="shared" ref="J39:J48" si="14">F39/$J$2</f>
        <v>1.4375</v>
      </c>
      <c r="K39" s="6">
        <f t="shared" ref="K39:K49" si="15">H39/$J$2</f>
        <v>0</v>
      </c>
    </row>
    <row r="40" spans="1:11" x14ac:dyDescent="0.2">
      <c r="A40">
        <v>1</v>
      </c>
      <c r="D40" t="s">
        <v>211</v>
      </c>
      <c r="E40" t="s">
        <v>212</v>
      </c>
      <c r="F40">
        <v>320</v>
      </c>
      <c r="G40">
        <f t="shared" si="12"/>
        <v>1</v>
      </c>
      <c r="H40">
        <f t="shared" si="13"/>
        <v>320</v>
      </c>
      <c r="J40" s="6">
        <f t="shared" si="14"/>
        <v>4</v>
      </c>
      <c r="K40" s="6">
        <f t="shared" si="15"/>
        <v>4</v>
      </c>
    </row>
    <row r="41" spans="1:11" x14ac:dyDescent="0.2">
      <c r="D41" t="s">
        <v>213</v>
      </c>
      <c r="E41" t="s">
        <v>202</v>
      </c>
      <c r="F41">
        <v>655</v>
      </c>
      <c r="G41">
        <f t="shared" si="12"/>
        <v>0</v>
      </c>
      <c r="H41">
        <f t="shared" si="13"/>
        <v>0</v>
      </c>
      <c r="J41" s="6">
        <f t="shared" si="14"/>
        <v>8.1875</v>
      </c>
      <c r="K41" s="6">
        <f t="shared" si="15"/>
        <v>0</v>
      </c>
    </row>
    <row r="42" spans="1:11" x14ac:dyDescent="0.2">
      <c r="D42" t="s">
        <v>214</v>
      </c>
      <c r="E42" t="s">
        <v>215</v>
      </c>
      <c r="F42">
        <v>235</v>
      </c>
      <c r="G42">
        <f t="shared" si="12"/>
        <v>0</v>
      </c>
      <c r="H42">
        <f t="shared" si="13"/>
        <v>0</v>
      </c>
      <c r="J42" s="6">
        <f t="shared" si="14"/>
        <v>2.9375</v>
      </c>
      <c r="K42" s="6">
        <f t="shared" si="15"/>
        <v>0</v>
      </c>
    </row>
    <row r="43" spans="1:11" x14ac:dyDescent="0.2">
      <c r="D43" t="s">
        <v>216</v>
      </c>
      <c r="E43" t="s">
        <v>217</v>
      </c>
      <c r="F43">
        <v>315</v>
      </c>
      <c r="G43">
        <f t="shared" si="12"/>
        <v>0</v>
      </c>
      <c r="H43">
        <f t="shared" si="13"/>
        <v>0</v>
      </c>
      <c r="J43" s="6">
        <f t="shared" si="14"/>
        <v>3.9375</v>
      </c>
      <c r="K43" s="6">
        <f t="shared" si="15"/>
        <v>0</v>
      </c>
    </row>
    <row r="44" spans="1:11" x14ac:dyDescent="0.2">
      <c r="D44" t="s">
        <v>218</v>
      </c>
      <c r="E44" t="s">
        <v>173</v>
      </c>
      <c r="F44">
        <v>225</v>
      </c>
      <c r="G44">
        <f t="shared" si="12"/>
        <v>0</v>
      </c>
      <c r="H44">
        <f t="shared" si="13"/>
        <v>0</v>
      </c>
      <c r="J44" s="6">
        <f t="shared" si="14"/>
        <v>2.8125</v>
      </c>
      <c r="K44" s="6">
        <f t="shared" si="15"/>
        <v>0</v>
      </c>
    </row>
    <row r="45" spans="1:11" x14ac:dyDescent="0.2">
      <c r="D45" t="s">
        <v>219</v>
      </c>
      <c r="E45" t="s">
        <v>220</v>
      </c>
      <c r="F45">
        <v>850</v>
      </c>
      <c r="G45">
        <f t="shared" si="12"/>
        <v>0</v>
      </c>
      <c r="H45">
        <f t="shared" si="13"/>
        <v>0</v>
      </c>
      <c r="J45" s="6">
        <f t="shared" si="14"/>
        <v>10.625</v>
      </c>
      <c r="K45" s="6">
        <f t="shared" si="15"/>
        <v>0</v>
      </c>
    </row>
    <row r="46" spans="1:11" x14ac:dyDescent="0.2">
      <c r="D46" t="s">
        <v>221</v>
      </c>
      <c r="E46" t="s">
        <v>222</v>
      </c>
      <c r="F46">
        <v>240</v>
      </c>
      <c r="G46">
        <f t="shared" si="12"/>
        <v>0</v>
      </c>
      <c r="H46">
        <f t="shared" si="13"/>
        <v>0</v>
      </c>
      <c r="J46" s="6">
        <f t="shared" si="14"/>
        <v>3</v>
      </c>
      <c r="K46" s="6">
        <f t="shared" si="15"/>
        <v>0</v>
      </c>
    </row>
    <row r="47" spans="1:11" x14ac:dyDescent="0.2">
      <c r="D47" t="s">
        <v>223</v>
      </c>
      <c r="E47" t="s">
        <v>210</v>
      </c>
      <c r="F47">
        <v>400</v>
      </c>
      <c r="G47">
        <f t="shared" si="12"/>
        <v>0</v>
      </c>
      <c r="H47">
        <f t="shared" si="13"/>
        <v>0</v>
      </c>
      <c r="J47" s="6">
        <f t="shared" si="14"/>
        <v>5</v>
      </c>
      <c r="K47" s="6">
        <f t="shared" si="15"/>
        <v>0</v>
      </c>
    </row>
    <row r="48" spans="1:11" x14ac:dyDescent="0.2">
      <c r="D48" t="s">
        <v>224</v>
      </c>
      <c r="E48" t="s">
        <v>225</v>
      </c>
      <c r="F48">
        <v>320</v>
      </c>
      <c r="G48">
        <f t="shared" si="12"/>
        <v>0</v>
      </c>
      <c r="H48">
        <f t="shared" si="13"/>
        <v>0</v>
      </c>
      <c r="J48" s="6">
        <f t="shared" si="14"/>
        <v>4</v>
      </c>
      <c r="K48" s="6">
        <f t="shared" si="15"/>
        <v>0</v>
      </c>
    </row>
    <row r="49" spans="1:11" x14ac:dyDescent="0.2">
      <c r="H49">
        <f>SUM(H39:H48)</f>
        <v>320</v>
      </c>
      <c r="J49" s="6"/>
      <c r="K49" s="6">
        <f t="shared" si="15"/>
        <v>4</v>
      </c>
    </row>
    <row r="50" spans="1:11" x14ac:dyDescent="0.2">
      <c r="C50" t="s">
        <v>226</v>
      </c>
      <c r="J50" s="6"/>
      <c r="K50" s="6"/>
    </row>
    <row r="51" spans="1:11" x14ac:dyDescent="0.2">
      <c r="A51">
        <v>1</v>
      </c>
      <c r="D51" t="s">
        <v>227</v>
      </c>
      <c r="E51" t="s">
        <v>228</v>
      </c>
      <c r="F51">
        <v>600</v>
      </c>
      <c r="G51">
        <f t="shared" ref="G51:G69" si="16">A51+B51</f>
        <v>1</v>
      </c>
      <c r="H51">
        <f t="shared" ref="H51:H69" si="17">F51*G51</f>
        <v>600</v>
      </c>
      <c r="J51" s="6">
        <f t="shared" ref="J51:J69" si="18">F51/$J$2</f>
        <v>7.5</v>
      </c>
      <c r="K51" s="6">
        <f t="shared" ref="K51:K70" si="19">H51/$J$2</f>
        <v>7.5</v>
      </c>
    </row>
    <row r="52" spans="1:11" x14ac:dyDescent="0.2">
      <c r="D52" t="s">
        <v>229</v>
      </c>
      <c r="E52" t="s">
        <v>230</v>
      </c>
      <c r="F52">
        <v>715</v>
      </c>
      <c r="G52">
        <f t="shared" si="16"/>
        <v>0</v>
      </c>
      <c r="H52">
        <f t="shared" si="17"/>
        <v>0</v>
      </c>
      <c r="J52" s="6">
        <f t="shared" si="18"/>
        <v>8.9375</v>
      </c>
      <c r="K52" s="6">
        <f t="shared" si="19"/>
        <v>0</v>
      </c>
    </row>
    <row r="53" spans="1:11" x14ac:dyDescent="0.2">
      <c r="D53" t="s">
        <v>231</v>
      </c>
      <c r="E53" t="s">
        <v>232</v>
      </c>
      <c r="F53">
        <v>825</v>
      </c>
      <c r="G53">
        <f t="shared" si="16"/>
        <v>0</v>
      </c>
      <c r="H53">
        <f t="shared" si="17"/>
        <v>0</v>
      </c>
      <c r="J53" s="6">
        <f t="shared" si="18"/>
        <v>10.3125</v>
      </c>
      <c r="K53" s="6">
        <f t="shared" si="19"/>
        <v>0</v>
      </c>
    </row>
    <row r="54" spans="1:11" x14ac:dyDescent="0.2">
      <c r="D54" t="s">
        <v>233</v>
      </c>
      <c r="E54" t="s">
        <v>234</v>
      </c>
      <c r="F54">
        <v>390</v>
      </c>
      <c r="G54">
        <f t="shared" si="16"/>
        <v>0</v>
      </c>
      <c r="H54">
        <f t="shared" si="17"/>
        <v>0</v>
      </c>
      <c r="J54" s="6">
        <f t="shared" si="18"/>
        <v>4.875</v>
      </c>
      <c r="K54" s="6">
        <f t="shared" si="19"/>
        <v>0</v>
      </c>
    </row>
    <row r="55" spans="1:11" x14ac:dyDescent="0.2">
      <c r="D55" t="s">
        <v>235</v>
      </c>
      <c r="E55" t="s">
        <v>234</v>
      </c>
      <c r="F55">
        <v>390</v>
      </c>
      <c r="G55">
        <f t="shared" si="16"/>
        <v>0</v>
      </c>
      <c r="H55">
        <f t="shared" si="17"/>
        <v>0</v>
      </c>
      <c r="J55" s="6">
        <f t="shared" si="18"/>
        <v>4.875</v>
      </c>
      <c r="K55" s="6">
        <f t="shared" si="19"/>
        <v>0</v>
      </c>
    </row>
    <row r="56" spans="1:11" x14ac:dyDescent="0.2">
      <c r="D56" t="s">
        <v>236</v>
      </c>
      <c r="E56" t="s">
        <v>237</v>
      </c>
      <c r="F56">
        <v>670</v>
      </c>
      <c r="G56">
        <f t="shared" si="16"/>
        <v>0</v>
      </c>
      <c r="H56">
        <f t="shared" si="17"/>
        <v>0</v>
      </c>
      <c r="J56" s="6">
        <f t="shared" si="18"/>
        <v>8.375</v>
      </c>
      <c r="K56" s="6">
        <f t="shared" si="19"/>
        <v>0</v>
      </c>
    </row>
    <row r="57" spans="1:11" x14ac:dyDescent="0.2">
      <c r="D57" t="s">
        <v>238</v>
      </c>
      <c r="E57" t="s">
        <v>239</v>
      </c>
      <c r="F57">
        <v>390</v>
      </c>
      <c r="G57">
        <f t="shared" si="16"/>
        <v>0</v>
      </c>
      <c r="H57">
        <f t="shared" si="17"/>
        <v>0</v>
      </c>
      <c r="J57" s="6">
        <f t="shared" si="18"/>
        <v>4.875</v>
      </c>
      <c r="K57" s="6">
        <f t="shared" si="19"/>
        <v>0</v>
      </c>
    </row>
    <row r="58" spans="1:11" x14ac:dyDescent="0.2">
      <c r="D58" t="s">
        <v>240</v>
      </c>
      <c r="E58" t="s">
        <v>239</v>
      </c>
      <c r="F58">
        <v>390</v>
      </c>
      <c r="G58">
        <f t="shared" si="16"/>
        <v>0</v>
      </c>
      <c r="H58">
        <f t="shared" si="17"/>
        <v>0</v>
      </c>
      <c r="J58" s="6">
        <f t="shared" si="18"/>
        <v>4.875</v>
      </c>
      <c r="K58" s="6">
        <f t="shared" si="19"/>
        <v>0</v>
      </c>
    </row>
    <row r="59" spans="1:11" x14ac:dyDescent="0.2">
      <c r="D59" t="s">
        <v>241</v>
      </c>
      <c r="E59" t="s">
        <v>242</v>
      </c>
      <c r="F59">
        <v>80</v>
      </c>
      <c r="G59">
        <f t="shared" si="16"/>
        <v>0</v>
      </c>
      <c r="H59">
        <f t="shared" si="17"/>
        <v>0</v>
      </c>
      <c r="J59" s="6">
        <f t="shared" si="18"/>
        <v>1</v>
      </c>
      <c r="K59" s="6">
        <f t="shared" si="19"/>
        <v>0</v>
      </c>
    </row>
    <row r="60" spans="1:11" x14ac:dyDescent="0.2">
      <c r="D60" t="s">
        <v>243</v>
      </c>
      <c r="E60" t="s">
        <v>239</v>
      </c>
      <c r="F60">
        <v>955</v>
      </c>
      <c r="G60">
        <f t="shared" si="16"/>
        <v>0</v>
      </c>
      <c r="H60">
        <f t="shared" si="17"/>
        <v>0</v>
      </c>
      <c r="J60" s="6">
        <f t="shared" si="18"/>
        <v>11.9375</v>
      </c>
      <c r="K60" s="6">
        <f t="shared" si="19"/>
        <v>0</v>
      </c>
    </row>
    <row r="61" spans="1:11" x14ac:dyDescent="0.2">
      <c r="D61" t="s">
        <v>244</v>
      </c>
      <c r="E61" t="s">
        <v>245</v>
      </c>
      <c r="F61">
        <v>195</v>
      </c>
      <c r="G61">
        <f t="shared" si="16"/>
        <v>0</v>
      </c>
      <c r="H61">
        <f t="shared" si="17"/>
        <v>0</v>
      </c>
      <c r="J61" s="6">
        <f t="shared" si="18"/>
        <v>2.4375</v>
      </c>
      <c r="K61" s="6">
        <f t="shared" si="19"/>
        <v>0</v>
      </c>
    </row>
    <row r="62" spans="1:11" x14ac:dyDescent="0.2">
      <c r="D62" t="s">
        <v>246</v>
      </c>
      <c r="E62" t="s">
        <v>247</v>
      </c>
      <c r="F62">
        <v>565</v>
      </c>
      <c r="G62">
        <f t="shared" si="16"/>
        <v>0</v>
      </c>
      <c r="H62">
        <f t="shared" si="17"/>
        <v>0</v>
      </c>
      <c r="J62" s="6">
        <f t="shared" si="18"/>
        <v>7.0625</v>
      </c>
      <c r="K62" s="6">
        <f t="shared" si="19"/>
        <v>0</v>
      </c>
    </row>
    <row r="63" spans="1:11" x14ac:dyDescent="0.2">
      <c r="D63" t="s">
        <v>248</v>
      </c>
      <c r="E63" t="s">
        <v>249</v>
      </c>
      <c r="F63">
        <v>140</v>
      </c>
      <c r="G63">
        <f t="shared" si="16"/>
        <v>0</v>
      </c>
      <c r="H63">
        <f t="shared" si="17"/>
        <v>0</v>
      </c>
      <c r="J63" s="6">
        <f t="shared" si="18"/>
        <v>1.75</v>
      </c>
      <c r="K63" s="6">
        <f t="shared" si="19"/>
        <v>0</v>
      </c>
    </row>
    <row r="64" spans="1:11" x14ac:dyDescent="0.2">
      <c r="D64" t="s">
        <v>250</v>
      </c>
      <c r="E64" t="s">
        <v>251</v>
      </c>
      <c r="F64">
        <v>440</v>
      </c>
      <c r="G64">
        <f t="shared" si="16"/>
        <v>0</v>
      </c>
      <c r="H64">
        <f t="shared" si="17"/>
        <v>0</v>
      </c>
      <c r="J64" s="6">
        <f t="shared" si="18"/>
        <v>5.5</v>
      </c>
      <c r="K64" s="6">
        <f t="shared" si="19"/>
        <v>0</v>
      </c>
    </row>
    <row r="65" spans="1:11" x14ac:dyDescent="0.2">
      <c r="D65" t="s">
        <v>252</v>
      </c>
      <c r="E65" t="s">
        <v>253</v>
      </c>
      <c r="F65">
        <v>50</v>
      </c>
      <c r="G65">
        <f t="shared" si="16"/>
        <v>0</v>
      </c>
      <c r="H65">
        <f t="shared" si="17"/>
        <v>0</v>
      </c>
      <c r="J65" s="6">
        <f t="shared" si="18"/>
        <v>0.625</v>
      </c>
      <c r="K65" s="6">
        <f t="shared" si="19"/>
        <v>0</v>
      </c>
    </row>
    <row r="66" spans="1:11" x14ac:dyDescent="0.2">
      <c r="D66" t="s">
        <v>254</v>
      </c>
      <c r="E66" t="s">
        <v>255</v>
      </c>
      <c r="F66">
        <v>300</v>
      </c>
      <c r="G66">
        <f t="shared" si="16"/>
        <v>0</v>
      </c>
      <c r="H66">
        <f t="shared" si="17"/>
        <v>0</v>
      </c>
      <c r="J66" s="6">
        <f t="shared" si="18"/>
        <v>3.75</v>
      </c>
      <c r="K66" s="6">
        <f t="shared" si="19"/>
        <v>0</v>
      </c>
    </row>
    <row r="67" spans="1:11" x14ac:dyDescent="0.2">
      <c r="D67" t="s">
        <v>256</v>
      </c>
      <c r="E67" t="s">
        <v>239</v>
      </c>
      <c r="F67">
        <v>120</v>
      </c>
      <c r="G67">
        <f t="shared" si="16"/>
        <v>0</v>
      </c>
      <c r="H67">
        <f t="shared" si="17"/>
        <v>0</v>
      </c>
      <c r="J67" s="6">
        <f t="shared" si="18"/>
        <v>1.5</v>
      </c>
      <c r="K67" s="6">
        <f t="shared" si="19"/>
        <v>0</v>
      </c>
    </row>
    <row r="68" spans="1:11" x14ac:dyDescent="0.2">
      <c r="D68" t="s">
        <v>257</v>
      </c>
      <c r="E68" t="s">
        <v>242</v>
      </c>
      <c r="F68">
        <v>310</v>
      </c>
      <c r="G68">
        <f t="shared" si="16"/>
        <v>0</v>
      </c>
      <c r="H68">
        <f t="shared" si="17"/>
        <v>0</v>
      </c>
      <c r="J68" s="6">
        <f t="shared" si="18"/>
        <v>3.875</v>
      </c>
      <c r="K68" s="6">
        <f t="shared" si="19"/>
        <v>0</v>
      </c>
    </row>
    <row r="69" spans="1:11" x14ac:dyDescent="0.2">
      <c r="D69" t="s">
        <v>258</v>
      </c>
      <c r="E69" t="s">
        <v>242</v>
      </c>
      <c r="F69">
        <v>425</v>
      </c>
      <c r="G69">
        <f t="shared" si="16"/>
        <v>0</v>
      </c>
      <c r="H69">
        <f t="shared" si="17"/>
        <v>0</v>
      </c>
      <c r="J69" s="6">
        <f t="shared" si="18"/>
        <v>5.3125</v>
      </c>
      <c r="K69" s="6">
        <f t="shared" si="19"/>
        <v>0</v>
      </c>
    </row>
    <row r="70" spans="1:11" x14ac:dyDescent="0.2">
      <c r="H70">
        <f>SUM(H51:H69)</f>
        <v>600</v>
      </c>
      <c r="J70" s="6"/>
      <c r="K70" s="6">
        <f t="shared" si="19"/>
        <v>7.5</v>
      </c>
    </row>
    <row r="71" spans="1:11" x14ac:dyDescent="0.2">
      <c r="C71" t="s">
        <v>259</v>
      </c>
      <c r="J71" s="6"/>
      <c r="K71" s="6"/>
    </row>
    <row r="72" spans="1:11" x14ac:dyDescent="0.2">
      <c r="A72">
        <v>1</v>
      </c>
      <c r="D72" t="s">
        <v>260</v>
      </c>
      <c r="E72" t="s">
        <v>261</v>
      </c>
      <c r="F72">
        <v>165</v>
      </c>
      <c r="G72">
        <f t="shared" ref="G72:G81" si="20">A72+B72</f>
        <v>1</v>
      </c>
      <c r="H72">
        <f t="shared" ref="H72:H81" si="21">F72*G72</f>
        <v>165</v>
      </c>
      <c r="J72" s="6">
        <f t="shared" ref="J72:J81" si="22">F72/$J$2</f>
        <v>2.0625</v>
      </c>
      <c r="K72" s="6">
        <f t="shared" ref="K72:K82" si="23">H72/$J$2</f>
        <v>2.0625</v>
      </c>
    </row>
    <row r="73" spans="1:11" x14ac:dyDescent="0.2">
      <c r="D73" t="s">
        <v>262</v>
      </c>
      <c r="E73" t="s">
        <v>261</v>
      </c>
      <c r="F73">
        <v>165</v>
      </c>
      <c r="G73">
        <f t="shared" si="20"/>
        <v>0</v>
      </c>
      <c r="H73">
        <f t="shared" si="21"/>
        <v>0</v>
      </c>
      <c r="J73" s="6">
        <f t="shared" si="22"/>
        <v>2.0625</v>
      </c>
      <c r="K73" s="6">
        <f t="shared" si="23"/>
        <v>0</v>
      </c>
    </row>
    <row r="74" spans="1:11" x14ac:dyDescent="0.2">
      <c r="D74" t="s">
        <v>263</v>
      </c>
      <c r="E74" t="s">
        <v>264</v>
      </c>
      <c r="F74">
        <v>500</v>
      </c>
      <c r="G74">
        <f t="shared" si="20"/>
        <v>0</v>
      </c>
      <c r="H74">
        <f t="shared" si="21"/>
        <v>0</v>
      </c>
      <c r="J74" s="6">
        <f t="shared" si="22"/>
        <v>6.25</v>
      </c>
      <c r="K74" s="6">
        <f t="shared" si="23"/>
        <v>0</v>
      </c>
    </row>
    <row r="75" spans="1:11" x14ac:dyDescent="0.2">
      <c r="D75" t="s">
        <v>265</v>
      </c>
      <c r="E75" t="s">
        <v>266</v>
      </c>
      <c r="F75">
        <v>435</v>
      </c>
      <c r="G75">
        <f t="shared" si="20"/>
        <v>0</v>
      </c>
      <c r="H75">
        <f t="shared" si="21"/>
        <v>0</v>
      </c>
      <c r="J75" s="6">
        <f t="shared" si="22"/>
        <v>5.4375</v>
      </c>
      <c r="K75" s="6">
        <f t="shared" si="23"/>
        <v>0</v>
      </c>
    </row>
    <row r="76" spans="1:11" x14ac:dyDescent="0.2">
      <c r="D76" t="s">
        <v>267</v>
      </c>
      <c r="E76" t="s">
        <v>247</v>
      </c>
      <c r="F76">
        <v>485</v>
      </c>
      <c r="G76">
        <f t="shared" si="20"/>
        <v>0</v>
      </c>
      <c r="H76">
        <f t="shared" si="21"/>
        <v>0</v>
      </c>
      <c r="J76" s="6">
        <f t="shared" si="22"/>
        <v>6.0625</v>
      </c>
      <c r="K76" s="6">
        <f t="shared" si="23"/>
        <v>0</v>
      </c>
    </row>
    <row r="77" spans="1:11" x14ac:dyDescent="0.2">
      <c r="D77" t="s">
        <v>268</v>
      </c>
      <c r="E77" t="s">
        <v>253</v>
      </c>
      <c r="F77">
        <v>530</v>
      </c>
      <c r="G77">
        <f t="shared" si="20"/>
        <v>0</v>
      </c>
      <c r="H77">
        <f t="shared" si="21"/>
        <v>0</v>
      </c>
      <c r="J77" s="6">
        <f t="shared" si="22"/>
        <v>6.625</v>
      </c>
      <c r="K77" s="6">
        <f t="shared" si="23"/>
        <v>0</v>
      </c>
    </row>
    <row r="78" spans="1:11" x14ac:dyDescent="0.2">
      <c r="D78" t="s">
        <v>269</v>
      </c>
      <c r="E78" t="s">
        <v>247</v>
      </c>
      <c r="F78">
        <v>340</v>
      </c>
      <c r="G78">
        <f t="shared" si="20"/>
        <v>0</v>
      </c>
      <c r="H78">
        <f t="shared" si="21"/>
        <v>0</v>
      </c>
      <c r="J78" s="6">
        <f t="shared" si="22"/>
        <v>4.25</v>
      </c>
      <c r="K78" s="6">
        <f t="shared" si="23"/>
        <v>0</v>
      </c>
    </row>
    <row r="79" spans="1:11" x14ac:dyDescent="0.2">
      <c r="D79" t="s">
        <v>270</v>
      </c>
      <c r="E79" t="s">
        <v>271</v>
      </c>
      <c r="F79">
        <v>205</v>
      </c>
      <c r="G79">
        <f t="shared" si="20"/>
        <v>0</v>
      </c>
      <c r="H79">
        <f t="shared" si="21"/>
        <v>0</v>
      </c>
      <c r="J79" s="6">
        <f t="shared" si="22"/>
        <v>2.5625</v>
      </c>
      <c r="K79" s="6">
        <f t="shared" si="23"/>
        <v>0</v>
      </c>
    </row>
    <row r="80" spans="1:11" x14ac:dyDescent="0.2">
      <c r="D80" t="s">
        <v>272</v>
      </c>
      <c r="E80" t="s">
        <v>273</v>
      </c>
      <c r="F80">
        <v>195</v>
      </c>
      <c r="G80">
        <f t="shared" si="20"/>
        <v>0</v>
      </c>
      <c r="H80">
        <f t="shared" si="21"/>
        <v>0</v>
      </c>
      <c r="J80" s="6">
        <f t="shared" si="22"/>
        <v>2.4375</v>
      </c>
      <c r="K80" s="6">
        <f t="shared" si="23"/>
        <v>0</v>
      </c>
    </row>
    <row r="81" spans="1:11" x14ac:dyDescent="0.2">
      <c r="D81" t="s">
        <v>274</v>
      </c>
      <c r="E81" t="s">
        <v>275</v>
      </c>
      <c r="F81">
        <v>255</v>
      </c>
      <c r="G81">
        <f t="shared" si="20"/>
        <v>0</v>
      </c>
      <c r="H81">
        <f t="shared" si="21"/>
        <v>0</v>
      </c>
      <c r="J81" s="6">
        <f t="shared" si="22"/>
        <v>3.1875</v>
      </c>
      <c r="K81" s="6">
        <f t="shared" si="23"/>
        <v>0</v>
      </c>
    </row>
    <row r="82" spans="1:11" x14ac:dyDescent="0.2">
      <c r="H82">
        <f>SUM(H72:H81)</f>
        <v>165</v>
      </c>
      <c r="J82" s="6"/>
      <c r="K82" s="6">
        <f t="shared" si="23"/>
        <v>2.0625</v>
      </c>
    </row>
    <row r="83" spans="1:11" x14ac:dyDescent="0.2">
      <c r="C83" t="s">
        <v>276</v>
      </c>
      <c r="J83" s="6"/>
      <c r="K83" s="6"/>
    </row>
    <row r="84" spans="1:11" x14ac:dyDescent="0.2">
      <c r="A84">
        <v>1</v>
      </c>
      <c r="D84" t="s">
        <v>277</v>
      </c>
      <c r="E84" t="s">
        <v>237</v>
      </c>
      <c r="F84">
        <v>370</v>
      </c>
      <c r="G84">
        <f t="shared" ref="G84:G95" si="24">A84+B84</f>
        <v>1</v>
      </c>
      <c r="H84">
        <f t="shared" ref="H84:H95" si="25">F84*G84</f>
        <v>370</v>
      </c>
      <c r="J84" s="6">
        <f t="shared" ref="J84:J95" si="26">F84/$J$2</f>
        <v>4.625</v>
      </c>
      <c r="K84" s="6">
        <f t="shared" ref="K84:K96" si="27">H84/$J$2</f>
        <v>4.625</v>
      </c>
    </row>
    <row r="85" spans="1:11" x14ac:dyDescent="0.2">
      <c r="D85" t="s">
        <v>278</v>
      </c>
      <c r="E85" t="s">
        <v>264</v>
      </c>
      <c r="F85">
        <v>465</v>
      </c>
      <c r="G85">
        <f t="shared" si="24"/>
        <v>0</v>
      </c>
      <c r="H85">
        <f t="shared" si="25"/>
        <v>0</v>
      </c>
      <c r="J85" s="6">
        <f t="shared" si="26"/>
        <v>5.8125</v>
      </c>
      <c r="K85" s="6">
        <f t="shared" si="27"/>
        <v>0</v>
      </c>
    </row>
    <row r="86" spans="1:11" x14ac:dyDescent="0.2">
      <c r="D86" t="s">
        <v>279</v>
      </c>
      <c r="E86" t="s">
        <v>237</v>
      </c>
      <c r="F86">
        <v>143</v>
      </c>
      <c r="G86">
        <f t="shared" si="24"/>
        <v>0</v>
      </c>
      <c r="H86">
        <f t="shared" si="25"/>
        <v>0</v>
      </c>
      <c r="J86" s="6">
        <f t="shared" si="26"/>
        <v>1.7875000000000001</v>
      </c>
      <c r="K86" s="6">
        <f t="shared" si="27"/>
        <v>0</v>
      </c>
    </row>
    <row r="87" spans="1:11" x14ac:dyDescent="0.2">
      <c r="D87" t="s">
        <v>280</v>
      </c>
      <c r="E87" t="s">
        <v>261</v>
      </c>
      <c r="F87">
        <v>129</v>
      </c>
      <c r="G87">
        <f t="shared" si="24"/>
        <v>0</v>
      </c>
      <c r="H87">
        <f t="shared" si="25"/>
        <v>0</v>
      </c>
      <c r="J87" s="6">
        <f t="shared" si="26"/>
        <v>1.6125</v>
      </c>
      <c r="K87" s="6">
        <f t="shared" si="27"/>
        <v>0</v>
      </c>
    </row>
    <row r="88" spans="1:11" x14ac:dyDescent="0.2">
      <c r="D88" t="s">
        <v>281</v>
      </c>
      <c r="E88" t="s">
        <v>282</v>
      </c>
      <c r="F88">
        <v>145</v>
      </c>
      <c r="G88">
        <f t="shared" si="24"/>
        <v>0</v>
      </c>
      <c r="H88">
        <f t="shared" si="25"/>
        <v>0</v>
      </c>
      <c r="J88" s="6">
        <f t="shared" si="26"/>
        <v>1.8125</v>
      </c>
      <c r="K88" s="6">
        <f t="shared" si="27"/>
        <v>0</v>
      </c>
    </row>
    <row r="89" spans="1:11" x14ac:dyDescent="0.2">
      <c r="D89" t="s">
        <v>283</v>
      </c>
      <c r="E89" t="s">
        <v>282</v>
      </c>
      <c r="F89">
        <v>129</v>
      </c>
      <c r="G89">
        <f t="shared" si="24"/>
        <v>0</v>
      </c>
      <c r="H89">
        <f t="shared" si="25"/>
        <v>0</v>
      </c>
      <c r="J89" s="6">
        <f t="shared" si="26"/>
        <v>1.6125</v>
      </c>
      <c r="K89" s="6">
        <f t="shared" si="27"/>
        <v>0</v>
      </c>
    </row>
    <row r="90" spans="1:11" x14ac:dyDescent="0.2">
      <c r="D90" t="s">
        <v>284</v>
      </c>
      <c r="E90" t="s">
        <v>239</v>
      </c>
      <c r="F90">
        <v>599</v>
      </c>
      <c r="G90">
        <f t="shared" si="24"/>
        <v>0</v>
      </c>
      <c r="H90">
        <f t="shared" si="25"/>
        <v>0</v>
      </c>
      <c r="J90" s="6">
        <f t="shared" si="26"/>
        <v>7.4874999999999998</v>
      </c>
      <c r="K90" s="6">
        <f t="shared" si="27"/>
        <v>0</v>
      </c>
    </row>
    <row r="91" spans="1:11" x14ac:dyDescent="0.2">
      <c r="D91" t="s">
        <v>285</v>
      </c>
      <c r="E91" t="s">
        <v>286</v>
      </c>
      <c r="F91">
        <v>239</v>
      </c>
      <c r="G91">
        <f t="shared" si="24"/>
        <v>0</v>
      </c>
      <c r="H91">
        <f t="shared" si="25"/>
        <v>0</v>
      </c>
      <c r="J91" s="6">
        <f t="shared" si="26"/>
        <v>2.9874999999999998</v>
      </c>
      <c r="K91" s="6">
        <f t="shared" si="27"/>
        <v>0</v>
      </c>
    </row>
    <row r="92" spans="1:11" x14ac:dyDescent="0.2">
      <c r="D92" t="s">
        <v>287</v>
      </c>
      <c r="E92" t="s">
        <v>288</v>
      </c>
      <c r="F92">
        <v>55</v>
      </c>
      <c r="G92">
        <f t="shared" si="24"/>
        <v>0</v>
      </c>
      <c r="H92">
        <f t="shared" si="25"/>
        <v>0</v>
      </c>
      <c r="J92" s="6">
        <f t="shared" si="26"/>
        <v>0.6875</v>
      </c>
      <c r="K92" s="6">
        <f t="shared" si="27"/>
        <v>0</v>
      </c>
    </row>
    <row r="93" spans="1:11" x14ac:dyDescent="0.2">
      <c r="D93" t="s">
        <v>289</v>
      </c>
      <c r="E93" t="s">
        <v>290</v>
      </c>
      <c r="F93">
        <v>239</v>
      </c>
      <c r="G93">
        <f t="shared" si="24"/>
        <v>0</v>
      </c>
      <c r="H93">
        <f t="shared" si="25"/>
        <v>0</v>
      </c>
      <c r="J93" s="6">
        <f t="shared" si="26"/>
        <v>2.9874999999999998</v>
      </c>
      <c r="K93" s="6">
        <f t="shared" si="27"/>
        <v>0</v>
      </c>
    </row>
    <row r="94" spans="1:11" x14ac:dyDescent="0.2">
      <c r="D94" t="s">
        <v>291</v>
      </c>
      <c r="E94" t="s">
        <v>251</v>
      </c>
      <c r="F94">
        <v>179</v>
      </c>
      <c r="G94">
        <f t="shared" si="24"/>
        <v>0</v>
      </c>
      <c r="H94">
        <f t="shared" si="25"/>
        <v>0</v>
      </c>
      <c r="J94" s="6">
        <f t="shared" si="26"/>
        <v>2.2374999999999998</v>
      </c>
      <c r="K94" s="6">
        <f t="shared" si="27"/>
        <v>0</v>
      </c>
    </row>
    <row r="95" spans="1:11" x14ac:dyDescent="0.2">
      <c r="D95" t="s">
        <v>292</v>
      </c>
      <c r="E95" t="s">
        <v>237</v>
      </c>
      <c r="F95">
        <v>485</v>
      </c>
      <c r="G95">
        <f t="shared" si="24"/>
        <v>0</v>
      </c>
      <c r="H95">
        <f t="shared" si="25"/>
        <v>0</v>
      </c>
      <c r="J95" s="6">
        <f t="shared" si="26"/>
        <v>6.0625</v>
      </c>
      <c r="K95" s="6">
        <f t="shared" si="27"/>
        <v>0</v>
      </c>
    </row>
    <row r="96" spans="1:11" x14ac:dyDescent="0.2">
      <c r="H96">
        <f>SUM(H84:H95)</f>
        <v>370</v>
      </c>
      <c r="J96" s="6"/>
      <c r="K96" s="6">
        <f t="shared" si="27"/>
        <v>4.625</v>
      </c>
    </row>
    <row r="97" spans="1:11" x14ac:dyDescent="0.2">
      <c r="C97" t="s">
        <v>293</v>
      </c>
      <c r="J97" s="6"/>
      <c r="K97" s="6"/>
    </row>
    <row r="98" spans="1:11" x14ac:dyDescent="0.2">
      <c r="A98">
        <v>1</v>
      </c>
      <c r="D98" t="s">
        <v>294</v>
      </c>
      <c r="E98" t="s">
        <v>295</v>
      </c>
      <c r="F98">
        <v>425</v>
      </c>
      <c r="G98">
        <f>A98+B98</f>
        <v>1</v>
      </c>
      <c r="H98">
        <f>F98*G98</f>
        <v>425</v>
      </c>
      <c r="J98" s="6">
        <f>F98/$J$2</f>
        <v>5.3125</v>
      </c>
      <c r="K98" s="6">
        <f>H98/$J$2</f>
        <v>5.3125</v>
      </c>
    </row>
    <row r="99" spans="1:11" x14ac:dyDescent="0.2">
      <c r="D99" t="s">
        <v>296</v>
      </c>
      <c r="E99" t="s">
        <v>253</v>
      </c>
      <c r="F99">
        <v>240</v>
      </c>
      <c r="G99">
        <f>A99+B99</f>
        <v>0</v>
      </c>
      <c r="H99">
        <f>F99*G99</f>
        <v>0</v>
      </c>
      <c r="J99" s="6">
        <f>F99/$J$2</f>
        <v>3</v>
      </c>
      <c r="K99" s="6">
        <f>H99/$J$2</f>
        <v>0</v>
      </c>
    </row>
    <row r="100" spans="1:11" x14ac:dyDescent="0.2">
      <c r="D100" t="s">
        <v>297</v>
      </c>
      <c r="E100" t="s">
        <v>261</v>
      </c>
      <c r="F100">
        <v>485</v>
      </c>
      <c r="G100">
        <f>A100+B100</f>
        <v>0</v>
      </c>
      <c r="H100">
        <f>F100*G100</f>
        <v>0</v>
      </c>
      <c r="J100" s="6">
        <f>F100/$J$2</f>
        <v>6.0625</v>
      </c>
      <c r="K100" s="6">
        <f>H100/$J$2</f>
        <v>0</v>
      </c>
    </row>
    <row r="101" spans="1:11" x14ac:dyDescent="0.2">
      <c r="H101">
        <f>SUM(H98:H100)</f>
        <v>425</v>
      </c>
      <c r="J101" s="6"/>
      <c r="K101" s="6">
        <f>H101/$J$2</f>
        <v>5.3125</v>
      </c>
    </row>
    <row r="102" spans="1:11" x14ac:dyDescent="0.2">
      <c r="C102" t="s">
        <v>298</v>
      </c>
      <c r="J102" s="6"/>
      <c r="K102" s="6"/>
    </row>
    <row r="103" spans="1:11" x14ac:dyDescent="0.2">
      <c r="A103">
        <v>1</v>
      </c>
      <c r="D103" t="s">
        <v>299</v>
      </c>
      <c r="E103" t="s">
        <v>300</v>
      </c>
      <c r="F103">
        <v>440</v>
      </c>
      <c r="G103">
        <f t="shared" ref="G103:G115" si="28">A103+B103</f>
        <v>1</v>
      </c>
      <c r="H103">
        <f t="shared" ref="H103:H115" si="29">F103*G103</f>
        <v>440</v>
      </c>
      <c r="J103" s="6">
        <f t="shared" ref="J103:J115" si="30">F103/$J$2</f>
        <v>5.5</v>
      </c>
      <c r="K103" s="6">
        <f t="shared" ref="K103:K116" si="31">H103/$J$2</f>
        <v>5.5</v>
      </c>
    </row>
    <row r="104" spans="1:11" x14ac:dyDescent="0.2">
      <c r="D104" t="s">
        <v>301</v>
      </c>
      <c r="E104" t="s">
        <v>242</v>
      </c>
      <c r="F104">
        <v>350</v>
      </c>
      <c r="G104">
        <f t="shared" si="28"/>
        <v>0</v>
      </c>
      <c r="H104">
        <f t="shared" si="29"/>
        <v>0</v>
      </c>
      <c r="J104" s="6">
        <f t="shared" si="30"/>
        <v>4.375</v>
      </c>
      <c r="K104" s="6">
        <f t="shared" si="31"/>
        <v>0</v>
      </c>
    </row>
    <row r="105" spans="1:11" x14ac:dyDescent="0.2">
      <c r="D105" t="s">
        <v>302</v>
      </c>
      <c r="E105" t="s">
        <v>242</v>
      </c>
      <c r="F105">
        <v>350</v>
      </c>
      <c r="G105">
        <f t="shared" si="28"/>
        <v>0</v>
      </c>
      <c r="H105">
        <f t="shared" si="29"/>
        <v>0</v>
      </c>
      <c r="J105" s="6">
        <f t="shared" si="30"/>
        <v>4.375</v>
      </c>
      <c r="K105" s="6">
        <f t="shared" si="31"/>
        <v>0</v>
      </c>
    </row>
    <row r="106" spans="1:11" x14ac:dyDescent="0.2">
      <c r="D106" t="s">
        <v>303</v>
      </c>
      <c r="E106" t="s">
        <v>242</v>
      </c>
      <c r="F106">
        <v>260</v>
      </c>
      <c r="G106">
        <f t="shared" si="28"/>
        <v>0</v>
      </c>
      <c r="H106">
        <f t="shared" si="29"/>
        <v>0</v>
      </c>
      <c r="J106" s="6">
        <f t="shared" si="30"/>
        <v>3.25</v>
      </c>
      <c r="K106" s="6">
        <f t="shared" si="31"/>
        <v>0</v>
      </c>
    </row>
    <row r="107" spans="1:11" x14ac:dyDescent="0.2">
      <c r="D107" t="s">
        <v>304</v>
      </c>
      <c r="E107" t="s">
        <v>242</v>
      </c>
      <c r="F107">
        <v>460</v>
      </c>
      <c r="G107">
        <f t="shared" si="28"/>
        <v>0</v>
      </c>
      <c r="H107">
        <f t="shared" si="29"/>
        <v>0</v>
      </c>
      <c r="J107" s="6">
        <f t="shared" si="30"/>
        <v>5.75</v>
      </c>
      <c r="K107" s="6">
        <f t="shared" si="31"/>
        <v>0</v>
      </c>
    </row>
    <row r="108" spans="1:11" x14ac:dyDescent="0.2">
      <c r="D108" t="s">
        <v>305</v>
      </c>
      <c r="E108" t="s">
        <v>300</v>
      </c>
      <c r="F108">
        <v>330</v>
      </c>
      <c r="G108">
        <f t="shared" si="28"/>
        <v>0</v>
      </c>
      <c r="H108">
        <f t="shared" si="29"/>
        <v>0</v>
      </c>
      <c r="J108" s="6">
        <f t="shared" si="30"/>
        <v>4.125</v>
      </c>
      <c r="K108" s="6">
        <f t="shared" si="31"/>
        <v>0</v>
      </c>
    </row>
    <row r="109" spans="1:11" x14ac:dyDescent="0.2">
      <c r="D109" t="s">
        <v>306</v>
      </c>
      <c r="E109" t="s">
        <v>242</v>
      </c>
      <c r="F109">
        <v>530</v>
      </c>
      <c r="G109">
        <f t="shared" si="28"/>
        <v>0</v>
      </c>
      <c r="H109">
        <f t="shared" si="29"/>
        <v>0</v>
      </c>
      <c r="J109" s="6">
        <f t="shared" si="30"/>
        <v>6.625</v>
      </c>
      <c r="K109" s="6">
        <f t="shared" si="31"/>
        <v>0</v>
      </c>
    </row>
    <row r="110" spans="1:11" x14ac:dyDescent="0.2">
      <c r="D110" t="s">
        <v>307</v>
      </c>
      <c r="E110" t="s">
        <v>253</v>
      </c>
      <c r="F110">
        <v>220</v>
      </c>
      <c r="G110">
        <f t="shared" si="28"/>
        <v>0</v>
      </c>
      <c r="H110">
        <f t="shared" si="29"/>
        <v>0</v>
      </c>
      <c r="J110" s="6">
        <f t="shared" si="30"/>
        <v>2.75</v>
      </c>
      <c r="K110" s="6">
        <f t="shared" si="31"/>
        <v>0</v>
      </c>
    </row>
    <row r="111" spans="1:11" x14ac:dyDescent="0.2">
      <c r="D111" t="s">
        <v>308</v>
      </c>
      <c r="E111" t="s">
        <v>242</v>
      </c>
      <c r="F111">
        <v>230</v>
      </c>
      <c r="G111">
        <f t="shared" si="28"/>
        <v>0</v>
      </c>
      <c r="H111">
        <f t="shared" si="29"/>
        <v>0</v>
      </c>
      <c r="J111" s="6">
        <f t="shared" si="30"/>
        <v>2.875</v>
      </c>
      <c r="K111" s="6">
        <f t="shared" si="31"/>
        <v>0</v>
      </c>
    </row>
    <row r="112" spans="1:11" x14ac:dyDescent="0.2">
      <c r="D112" t="s">
        <v>309</v>
      </c>
      <c r="E112" t="s">
        <v>242</v>
      </c>
      <c r="F112">
        <v>295</v>
      </c>
      <c r="G112">
        <f t="shared" si="28"/>
        <v>0</v>
      </c>
      <c r="H112">
        <f t="shared" si="29"/>
        <v>0</v>
      </c>
      <c r="J112" s="6">
        <f t="shared" si="30"/>
        <v>3.6875</v>
      </c>
      <c r="K112" s="6">
        <f t="shared" si="31"/>
        <v>0</v>
      </c>
    </row>
    <row r="113" spans="1:11" x14ac:dyDescent="0.2">
      <c r="D113" t="s">
        <v>310</v>
      </c>
      <c r="E113" t="s">
        <v>242</v>
      </c>
      <c r="F113">
        <v>260</v>
      </c>
      <c r="G113">
        <f t="shared" si="28"/>
        <v>0</v>
      </c>
      <c r="H113">
        <f t="shared" si="29"/>
        <v>0</v>
      </c>
      <c r="J113" s="6">
        <f t="shared" si="30"/>
        <v>3.25</v>
      </c>
      <c r="K113" s="6">
        <f t="shared" si="31"/>
        <v>0</v>
      </c>
    </row>
    <row r="114" spans="1:11" x14ac:dyDescent="0.2">
      <c r="D114" t="s">
        <v>311</v>
      </c>
      <c r="E114" t="s">
        <v>242</v>
      </c>
      <c r="F114">
        <v>215</v>
      </c>
      <c r="G114">
        <f t="shared" si="28"/>
        <v>0</v>
      </c>
      <c r="H114">
        <f t="shared" si="29"/>
        <v>0</v>
      </c>
      <c r="J114" s="6">
        <f t="shared" si="30"/>
        <v>2.6875</v>
      </c>
      <c r="K114" s="6">
        <f t="shared" si="31"/>
        <v>0</v>
      </c>
    </row>
    <row r="115" spans="1:11" x14ac:dyDescent="0.2">
      <c r="D115" t="s">
        <v>312</v>
      </c>
      <c r="E115" t="s">
        <v>242</v>
      </c>
      <c r="F115">
        <v>835</v>
      </c>
      <c r="G115">
        <f t="shared" si="28"/>
        <v>0</v>
      </c>
      <c r="H115">
        <f t="shared" si="29"/>
        <v>0</v>
      </c>
      <c r="J115" s="6">
        <f t="shared" si="30"/>
        <v>10.4375</v>
      </c>
      <c r="K115" s="6">
        <f t="shared" si="31"/>
        <v>0</v>
      </c>
    </row>
    <row r="116" spans="1:11" x14ac:dyDescent="0.2">
      <c r="H116">
        <f>SUM(H103:H115)</f>
        <v>440</v>
      </c>
      <c r="J116" s="6"/>
      <c r="K116" s="6">
        <f t="shared" si="31"/>
        <v>5.5</v>
      </c>
    </row>
    <row r="117" spans="1:11" x14ac:dyDescent="0.2">
      <c r="C117" t="s">
        <v>313</v>
      </c>
      <c r="J117" s="6"/>
      <c r="K117" s="6"/>
    </row>
    <row r="118" spans="1:11" x14ac:dyDescent="0.2">
      <c r="A118">
        <v>1</v>
      </c>
      <c r="D118" t="s">
        <v>314</v>
      </c>
      <c r="E118" t="s">
        <v>315</v>
      </c>
      <c r="F118">
        <v>320</v>
      </c>
      <c r="G118">
        <f t="shared" ref="G118:G131" si="32">A118+B118</f>
        <v>1</v>
      </c>
      <c r="H118">
        <f t="shared" ref="H118:H131" si="33">F118*G118</f>
        <v>320</v>
      </c>
      <c r="J118" s="6">
        <f t="shared" ref="J118:J131" si="34">F118/$J$2</f>
        <v>4</v>
      </c>
      <c r="K118" s="6">
        <f t="shared" ref="K118:K132" si="35">H118/$J$2</f>
        <v>4</v>
      </c>
    </row>
    <row r="119" spans="1:11" x14ac:dyDescent="0.2">
      <c r="D119" t="s">
        <v>316</v>
      </c>
      <c r="E119" t="s">
        <v>317</v>
      </c>
      <c r="F119">
        <v>260</v>
      </c>
      <c r="G119">
        <f t="shared" si="32"/>
        <v>0</v>
      </c>
      <c r="H119">
        <f t="shared" si="33"/>
        <v>0</v>
      </c>
      <c r="J119" s="6">
        <f t="shared" si="34"/>
        <v>3.25</v>
      </c>
      <c r="K119" s="6">
        <f t="shared" si="35"/>
        <v>0</v>
      </c>
    </row>
    <row r="120" spans="1:11" x14ac:dyDescent="0.2">
      <c r="D120" t="s">
        <v>318</v>
      </c>
      <c r="E120" t="s">
        <v>319</v>
      </c>
      <c r="F120">
        <v>355</v>
      </c>
      <c r="G120">
        <f t="shared" si="32"/>
        <v>0</v>
      </c>
      <c r="H120">
        <f t="shared" si="33"/>
        <v>0</v>
      </c>
      <c r="J120" s="6">
        <f t="shared" si="34"/>
        <v>4.4375</v>
      </c>
      <c r="K120" s="6">
        <f t="shared" si="35"/>
        <v>0</v>
      </c>
    </row>
    <row r="121" spans="1:11" x14ac:dyDescent="0.2">
      <c r="D121" t="s">
        <v>320</v>
      </c>
      <c r="E121" t="s">
        <v>321</v>
      </c>
      <c r="F121">
        <v>375</v>
      </c>
      <c r="G121">
        <f t="shared" si="32"/>
        <v>0</v>
      </c>
      <c r="H121">
        <f t="shared" si="33"/>
        <v>0</v>
      </c>
      <c r="J121" s="6">
        <f t="shared" si="34"/>
        <v>4.6875</v>
      </c>
      <c r="K121" s="6">
        <f t="shared" si="35"/>
        <v>0</v>
      </c>
    </row>
    <row r="122" spans="1:11" x14ac:dyDescent="0.2">
      <c r="D122" t="s">
        <v>322</v>
      </c>
      <c r="E122" t="s">
        <v>253</v>
      </c>
      <c r="F122">
        <v>375</v>
      </c>
      <c r="G122">
        <f t="shared" si="32"/>
        <v>0</v>
      </c>
      <c r="H122">
        <f t="shared" si="33"/>
        <v>0</v>
      </c>
      <c r="J122" s="6">
        <f t="shared" si="34"/>
        <v>4.6875</v>
      </c>
      <c r="K122" s="6">
        <f t="shared" si="35"/>
        <v>0</v>
      </c>
    </row>
    <row r="123" spans="1:11" x14ac:dyDescent="0.2">
      <c r="D123" t="s">
        <v>323</v>
      </c>
      <c r="E123" t="s">
        <v>324</v>
      </c>
      <c r="F123">
        <v>15</v>
      </c>
      <c r="G123">
        <f t="shared" si="32"/>
        <v>0</v>
      </c>
      <c r="H123">
        <f t="shared" si="33"/>
        <v>0</v>
      </c>
      <c r="J123" s="6">
        <f t="shared" si="34"/>
        <v>0.1875</v>
      </c>
      <c r="K123" s="6">
        <f t="shared" si="35"/>
        <v>0</v>
      </c>
    </row>
    <row r="124" spans="1:11" x14ac:dyDescent="0.2">
      <c r="D124" t="s">
        <v>325</v>
      </c>
      <c r="E124" t="s">
        <v>326</v>
      </c>
      <c r="F124">
        <v>600</v>
      </c>
      <c r="G124">
        <f t="shared" si="32"/>
        <v>0</v>
      </c>
      <c r="H124">
        <f t="shared" si="33"/>
        <v>0</v>
      </c>
      <c r="J124" s="6">
        <f t="shared" si="34"/>
        <v>7.5</v>
      </c>
      <c r="K124" s="6">
        <f t="shared" si="35"/>
        <v>0</v>
      </c>
    </row>
    <row r="125" spans="1:11" x14ac:dyDescent="0.2">
      <c r="D125" t="s">
        <v>327</v>
      </c>
      <c r="E125" t="s">
        <v>328</v>
      </c>
      <c r="F125">
        <v>770</v>
      </c>
      <c r="G125">
        <f t="shared" si="32"/>
        <v>0</v>
      </c>
      <c r="H125">
        <f t="shared" si="33"/>
        <v>0</v>
      </c>
      <c r="J125" s="6">
        <f t="shared" si="34"/>
        <v>9.625</v>
      </c>
      <c r="K125" s="6">
        <f t="shared" si="35"/>
        <v>0</v>
      </c>
    </row>
    <row r="126" spans="1:11" x14ac:dyDescent="0.2">
      <c r="D126" t="s">
        <v>329</v>
      </c>
      <c r="E126" t="s">
        <v>330</v>
      </c>
      <c r="F126">
        <v>1240</v>
      </c>
      <c r="G126">
        <f t="shared" si="32"/>
        <v>0</v>
      </c>
      <c r="H126">
        <f t="shared" si="33"/>
        <v>0</v>
      </c>
      <c r="J126" s="6">
        <f t="shared" si="34"/>
        <v>15.5</v>
      </c>
      <c r="K126" s="6">
        <f t="shared" si="35"/>
        <v>0</v>
      </c>
    </row>
    <row r="127" spans="1:11" x14ac:dyDescent="0.2">
      <c r="D127" t="s">
        <v>331</v>
      </c>
      <c r="E127" t="s">
        <v>253</v>
      </c>
      <c r="F127">
        <v>425</v>
      </c>
      <c r="G127">
        <f t="shared" si="32"/>
        <v>0</v>
      </c>
      <c r="H127">
        <f t="shared" si="33"/>
        <v>0</v>
      </c>
      <c r="J127" s="6">
        <f t="shared" si="34"/>
        <v>5.3125</v>
      </c>
      <c r="K127" s="6">
        <f t="shared" si="35"/>
        <v>0</v>
      </c>
    </row>
    <row r="128" spans="1:11" x14ac:dyDescent="0.2">
      <c r="D128" t="s">
        <v>332</v>
      </c>
      <c r="E128" t="s">
        <v>319</v>
      </c>
      <c r="F128">
        <v>445</v>
      </c>
      <c r="G128">
        <f t="shared" si="32"/>
        <v>0</v>
      </c>
      <c r="H128">
        <f t="shared" si="33"/>
        <v>0</v>
      </c>
      <c r="J128" s="6">
        <f t="shared" si="34"/>
        <v>5.5625</v>
      </c>
      <c r="K128" s="6">
        <f t="shared" si="35"/>
        <v>0</v>
      </c>
    </row>
    <row r="129" spans="1:11" x14ac:dyDescent="0.2">
      <c r="D129" t="s">
        <v>333</v>
      </c>
      <c r="E129" t="s">
        <v>247</v>
      </c>
      <c r="F129">
        <v>305</v>
      </c>
      <c r="G129">
        <f t="shared" si="32"/>
        <v>0</v>
      </c>
      <c r="H129">
        <f t="shared" si="33"/>
        <v>0</v>
      </c>
      <c r="J129" s="6">
        <f t="shared" si="34"/>
        <v>3.8125</v>
      </c>
      <c r="K129" s="6">
        <f t="shared" si="35"/>
        <v>0</v>
      </c>
    </row>
    <row r="130" spans="1:11" x14ac:dyDescent="0.2">
      <c r="D130" t="s">
        <v>334</v>
      </c>
      <c r="E130" t="s">
        <v>335</v>
      </c>
      <c r="F130">
        <v>450</v>
      </c>
      <c r="G130">
        <f t="shared" si="32"/>
        <v>0</v>
      </c>
      <c r="H130">
        <f t="shared" si="33"/>
        <v>0</v>
      </c>
      <c r="J130" s="6">
        <f t="shared" si="34"/>
        <v>5.625</v>
      </c>
      <c r="K130" s="6">
        <f t="shared" si="35"/>
        <v>0</v>
      </c>
    </row>
    <row r="131" spans="1:11" x14ac:dyDescent="0.2">
      <c r="D131" t="s">
        <v>336</v>
      </c>
      <c r="E131" t="s">
        <v>253</v>
      </c>
      <c r="F131">
        <v>190</v>
      </c>
      <c r="G131">
        <f t="shared" si="32"/>
        <v>0</v>
      </c>
      <c r="H131">
        <f t="shared" si="33"/>
        <v>0</v>
      </c>
      <c r="J131" s="6">
        <f t="shared" si="34"/>
        <v>2.375</v>
      </c>
      <c r="K131" s="6">
        <f t="shared" si="35"/>
        <v>0</v>
      </c>
    </row>
    <row r="132" spans="1:11" x14ac:dyDescent="0.2">
      <c r="H132">
        <f>SUM(H118:H131)</f>
        <v>320</v>
      </c>
      <c r="K132" s="6">
        <f t="shared" si="35"/>
        <v>4</v>
      </c>
    </row>
    <row r="133" spans="1:11" x14ac:dyDescent="0.2">
      <c r="C133" t="s">
        <v>337</v>
      </c>
    </row>
    <row r="134" spans="1:11" x14ac:dyDescent="0.2">
      <c r="A134">
        <v>1</v>
      </c>
      <c r="D134" t="s">
        <v>338</v>
      </c>
      <c r="E134" t="s">
        <v>242</v>
      </c>
      <c r="F134">
        <v>630</v>
      </c>
      <c r="G134">
        <f t="shared" ref="G134:G139" si="36">A134+B134</f>
        <v>1</v>
      </c>
      <c r="H134">
        <f t="shared" ref="H134:H139" si="37">F134*G134</f>
        <v>630</v>
      </c>
      <c r="J134" s="6">
        <f t="shared" ref="J134:J139" si="38">F134/$J$2</f>
        <v>7.875</v>
      </c>
      <c r="K134" s="6">
        <f t="shared" ref="K134:K140" si="39">H134/$J$2</f>
        <v>7.875</v>
      </c>
    </row>
    <row r="135" spans="1:11" x14ac:dyDescent="0.2">
      <c r="D135" t="s">
        <v>339</v>
      </c>
      <c r="E135" t="s">
        <v>242</v>
      </c>
      <c r="F135">
        <v>1420</v>
      </c>
      <c r="G135">
        <f t="shared" si="36"/>
        <v>0</v>
      </c>
      <c r="H135">
        <f t="shared" si="37"/>
        <v>0</v>
      </c>
      <c r="J135" s="6">
        <f t="shared" si="38"/>
        <v>17.75</v>
      </c>
      <c r="K135" s="6">
        <f t="shared" si="39"/>
        <v>0</v>
      </c>
    </row>
    <row r="136" spans="1:11" x14ac:dyDescent="0.2">
      <c r="D136" t="s">
        <v>340</v>
      </c>
      <c r="E136" t="s">
        <v>242</v>
      </c>
      <c r="F136">
        <v>1235</v>
      </c>
      <c r="G136">
        <f t="shared" si="36"/>
        <v>0</v>
      </c>
      <c r="H136">
        <f t="shared" si="37"/>
        <v>0</v>
      </c>
      <c r="J136" s="6">
        <f t="shared" si="38"/>
        <v>15.4375</v>
      </c>
      <c r="K136" s="6">
        <f t="shared" si="39"/>
        <v>0</v>
      </c>
    </row>
    <row r="137" spans="1:11" x14ac:dyDescent="0.2">
      <c r="D137" t="s">
        <v>341</v>
      </c>
      <c r="E137" t="s">
        <v>242</v>
      </c>
      <c r="F137">
        <v>1195</v>
      </c>
      <c r="G137">
        <f t="shared" si="36"/>
        <v>0</v>
      </c>
      <c r="H137">
        <f t="shared" si="37"/>
        <v>0</v>
      </c>
      <c r="J137" s="6">
        <f t="shared" si="38"/>
        <v>14.9375</v>
      </c>
      <c r="K137" s="6">
        <f t="shared" si="39"/>
        <v>0</v>
      </c>
    </row>
    <row r="138" spans="1:11" x14ac:dyDescent="0.2">
      <c r="D138" t="s">
        <v>342</v>
      </c>
      <c r="E138" t="s">
        <v>242</v>
      </c>
      <c r="F138">
        <v>1765</v>
      </c>
      <c r="G138">
        <f t="shared" si="36"/>
        <v>0</v>
      </c>
      <c r="H138">
        <f t="shared" si="37"/>
        <v>0</v>
      </c>
      <c r="J138" s="6">
        <f t="shared" si="38"/>
        <v>22.0625</v>
      </c>
      <c r="K138" s="6">
        <f t="shared" si="39"/>
        <v>0</v>
      </c>
    </row>
    <row r="139" spans="1:11" x14ac:dyDescent="0.2">
      <c r="D139" t="s">
        <v>343</v>
      </c>
      <c r="E139" t="s">
        <v>242</v>
      </c>
      <c r="F139">
        <v>1700</v>
      </c>
      <c r="G139">
        <f t="shared" si="36"/>
        <v>0</v>
      </c>
      <c r="H139">
        <f t="shared" si="37"/>
        <v>0</v>
      </c>
      <c r="J139" s="6">
        <f t="shared" si="38"/>
        <v>21.25</v>
      </c>
      <c r="K139" s="6">
        <f t="shared" si="39"/>
        <v>0</v>
      </c>
    </row>
    <row r="140" spans="1:11" x14ac:dyDescent="0.2">
      <c r="H140">
        <f>SUM(H134:H139)</f>
        <v>630</v>
      </c>
      <c r="K140" s="6">
        <f t="shared" si="39"/>
        <v>7.875</v>
      </c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workbookViewId="0">
      <selection activeCell="C30" sqref="C30"/>
    </sheetView>
  </sheetViews>
  <sheetFormatPr defaultColWidth="8.42578125" defaultRowHeight="12.75" x14ac:dyDescent="0.2"/>
  <cols>
    <col min="1" max="1" width="13.140625" customWidth="1"/>
    <col min="2" max="2" width="11.5703125" bestFit="1" customWidth="1"/>
    <col min="3" max="3" width="11.140625" customWidth="1"/>
    <col min="4" max="4" width="8.5703125" customWidth="1"/>
    <col min="5" max="5" width="10" customWidth="1"/>
    <col min="6" max="6" width="8" customWidth="1"/>
    <col min="7" max="7" width="11.5703125" bestFit="1" customWidth="1"/>
    <col min="8" max="8" width="13" bestFit="1" customWidth="1"/>
    <col min="9" max="10" width="11.5703125" bestFit="1" customWidth="1"/>
    <col min="11" max="11" width="8.42578125" bestFit="1" customWidth="1"/>
    <col min="12" max="12" width="7.85546875" customWidth="1"/>
  </cols>
  <sheetData>
    <row r="1" spans="1:13" x14ac:dyDescent="0.2">
      <c r="A1" t="s">
        <v>344</v>
      </c>
    </row>
    <row r="2" spans="1:13" x14ac:dyDescent="0.2">
      <c r="A2" t="s">
        <v>1</v>
      </c>
      <c r="C2" t="s">
        <v>2</v>
      </c>
      <c r="D2" t="s">
        <v>3</v>
      </c>
      <c r="E2" t="s">
        <v>345</v>
      </c>
      <c r="F2" t="s">
        <v>76</v>
      </c>
      <c r="G2" t="s">
        <v>102</v>
      </c>
      <c r="H2" t="s">
        <v>346</v>
      </c>
    </row>
    <row r="3" spans="1:13" x14ac:dyDescent="0.2">
      <c r="B3" t="s">
        <v>11</v>
      </c>
      <c r="C3" s="5">
        <v>1</v>
      </c>
      <c r="D3" s="5">
        <v>2</v>
      </c>
      <c r="E3" s="5">
        <v>1316</v>
      </c>
      <c r="F3" s="5">
        <v>1316</v>
      </c>
      <c r="G3" s="5">
        <v>1395</v>
      </c>
      <c r="H3" s="5">
        <v>1528</v>
      </c>
      <c r="I3" s="5"/>
    </row>
    <row r="4" spans="1:13" x14ac:dyDescent="0.2">
      <c r="B4" t="s">
        <v>12</v>
      </c>
      <c r="C4">
        <v>1000</v>
      </c>
      <c r="D4">
        <v>1000</v>
      </c>
      <c r="E4">
        <v>1100</v>
      </c>
      <c r="F4">
        <v>1100</v>
      </c>
      <c r="G4">
        <v>1000</v>
      </c>
      <c r="H4">
        <v>1000</v>
      </c>
    </row>
    <row r="5" spans="1:13" x14ac:dyDescent="0.2">
      <c r="B5" t="s">
        <v>13</v>
      </c>
    </row>
    <row r="8" spans="1:13" x14ac:dyDescent="0.2">
      <c r="A8" t="s">
        <v>17</v>
      </c>
      <c r="C8">
        <f t="shared" ref="C8:H8" si="0">SUM(C4:C7)</f>
        <v>1000</v>
      </c>
      <c r="D8">
        <f t="shared" si="0"/>
        <v>1000</v>
      </c>
      <c r="E8">
        <f t="shared" si="0"/>
        <v>1100</v>
      </c>
      <c r="F8">
        <f t="shared" si="0"/>
        <v>1100</v>
      </c>
      <c r="G8">
        <f t="shared" si="0"/>
        <v>1000</v>
      </c>
      <c r="H8">
        <f t="shared" si="0"/>
        <v>1000</v>
      </c>
      <c r="J8" s="5"/>
      <c r="K8" s="5"/>
      <c r="L8" s="5"/>
    </row>
    <row r="10" spans="1:13" x14ac:dyDescent="0.2">
      <c r="A10" t="s">
        <v>18</v>
      </c>
      <c r="B10" s="7">
        <f>SUM(C10:M10)</f>
        <v>5229.7</v>
      </c>
      <c r="C10" s="9">
        <f t="shared" ref="C10:H10" si="1">SUM(C12:C20)</f>
        <v>2915</v>
      </c>
      <c r="D10" s="8">
        <f t="shared" si="1"/>
        <v>215</v>
      </c>
      <c r="E10" s="8">
        <f t="shared" si="1"/>
        <v>1801.575</v>
      </c>
      <c r="F10" s="8">
        <f t="shared" si="1"/>
        <v>0</v>
      </c>
      <c r="G10" s="8">
        <f t="shared" si="1"/>
        <v>293.125</v>
      </c>
      <c r="H10" s="10">
        <f t="shared" si="1"/>
        <v>5</v>
      </c>
      <c r="I10" s="8"/>
    </row>
    <row r="11" spans="1:13" x14ac:dyDescent="0.2">
      <c r="A11" t="s">
        <v>19</v>
      </c>
      <c r="C11" t="s">
        <v>20</v>
      </c>
      <c r="E11" s="13" t="s">
        <v>21</v>
      </c>
      <c r="F11">
        <v>1.25</v>
      </c>
      <c r="G11" t="s">
        <v>22</v>
      </c>
    </row>
    <row r="12" spans="1:13" x14ac:dyDescent="0.2">
      <c r="B12" t="s">
        <v>23</v>
      </c>
      <c r="C12">
        <v>665</v>
      </c>
      <c r="D12">
        <f>16+12+5+27</f>
        <v>60</v>
      </c>
      <c r="E12">
        <f>$F$11*763.26</f>
        <v>954.07500000000005</v>
      </c>
      <c r="G12">
        <f>$F$11*(170+14)</f>
        <v>230</v>
      </c>
      <c r="H12">
        <f>$F$11*(4)</f>
        <v>5</v>
      </c>
    </row>
    <row r="13" spans="1:13" x14ac:dyDescent="0.2">
      <c r="C13">
        <v>2250</v>
      </c>
      <c r="D13">
        <f>$F$11*(79+40+5)</f>
        <v>155</v>
      </c>
      <c r="E13">
        <f>$F$11*(190+50+3)</f>
        <v>303.75</v>
      </c>
      <c r="G13">
        <f>$F$11*(50.5)</f>
        <v>63.125</v>
      </c>
      <c r="H13" s="7"/>
    </row>
    <row r="14" spans="1:13" x14ac:dyDescent="0.2">
      <c r="E14">
        <f>$F$11*420</f>
        <v>525</v>
      </c>
      <c r="I14" s="7"/>
    </row>
    <row r="15" spans="1:13" x14ac:dyDescent="0.2">
      <c r="E15">
        <f>$F$11*15</f>
        <v>18.75</v>
      </c>
      <c r="J15" s="8"/>
      <c r="K15" s="8"/>
      <c r="L15" s="8"/>
      <c r="M15" s="8"/>
    </row>
    <row r="21" spans="1:13" x14ac:dyDescent="0.2">
      <c r="A21" t="s">
        <v>24</v>
      </c>
      <c r="B21" s="4" t="s">
        <v>127</v>
      </c>
    </row>
    <row r="22" spans="1:13" x14ac:dyDescent="0.2">
      <c r="A22" t="s">
        <v>26</v>
      </c>
      <c r="B22">
        <f>1000*6+200</f>
        <v>6200</v>
      </c>
      <c r="D22" t="s">
        <v>27</v>
      </c>
      <c r="E22" t="s">
        <v>28</v>
      </c>
    </row>
    <row r="23" spans="1:13" x14ac:dyDescent="0.2">
      <c r="A23" t="s">
        <v>29</v>
      </c>
      <c r="B23">
        <f>+B10</f>
        <v>5229.7</v>
      </c>
      <c r="C23" t="s">
        <v>85</v>
      </c>
      <c r="D23" s="1">
        <f>B23/6</f>
        <v>871.61666666666667</v>
      </c>
      <c r="E23" s="12">
        <f>1000-D23</f>
        <v>128.38333333333333</v>
      </c>
    </row>
    <row r="24" spans="1:13" x14ac:dyDescent="0.2">
      <c r="A24" t="s">
        <v>30</v>
      </c>
      <c r="B24">
        <f>B22-B23</f>
        <v>970.30000000000018</v>
      </c>
      <c r="C24">
        <f t="shared" ref="C24:H24" si="2">C8+C10</f>
        <v>3915</v>
      </c>
      <c r="D24">
        <f t="shared" si="2"/>
        <v>1215</v>
      </c>
      <c r="E24">
        <f t="shared" si="2"/>
        <v>2901.5749999999998</v>
      </c>
      <c r="F24">
        <f t="shared" si="2"/>
        <v>1100</v>
      </c>
      <c r="G24">
        <f t="shared" si="2"/>
        <v>1293.125</v>
      </c>
      <c r="H24">
        <f t="shared" si="2"/>
        <v>1005</v>
      </c>
    </row>
    <row r="25" spans="1:13" x14ac:dyDescent="0.2">
      <c r="A25" s="14" t="s">
        <v>31</v>
      </c>
      <c r="B25" s="14"/>
      <c r="C25" s="15">
        <f>C24-$D$23-1200</f>
        <v>1843.3833333333332</v>
      </c>
      <c r="D25" s="15">
        <f>D24-$D$23</f>
        <v>343.38333333333333</v>
      </c>
      <c r="E25" s="15">
        <f>E24-$D$23</f>
        <v>2029.958333333333</v>
      </c>
      <c r="F25" s="15">
        <f>F24-$D$23</f>
        <v>228.38333333333333</v>
      </c>
      <c r="G25" s="15">
        <f>G24-$D$23</f>
        <v>421.50833333333333</v>
      </c>
      <c r="H25" s="15">
        <f>H24-$D$23</f>
        <v>133.38333333333333</v>
      </c>
      <c r="I25" s="15"/>
    </row>
    <row r="26" spans="1:13" x14ac:dyDescent="0.2">
      <c r="A26" t="s">
        <v>347</v>
      </c>
      <c r="B26" s="12">
        <f>1000-D23</f>
        <v>128.38333333333333</v>
      </c>
      <c r="C26">
        <f>C25+D25</f>
        <v>2186.7666666666664</v>
      </c>
      <c r="E26">
        <f>E25+F25</f>
        <v>2258.3416666666662</v>
      </c>
    </row>
    <row r="27" spans="1:13" x14ac:dyDescent="0.2">
      <c r="E27">
        <f>+F11*42</f>
        <v>52.5</v>
      </c>
      <c r="F27" t="s">
        <v>348</v>
      </c>
    </row>
    <row r="28" spans="1:13" x14ac:dyDescent="0.2">
      <c r="E28">
        <f>E26+E27</f>
        <v>2310.8416666666662</v>
      </c>
    </row>
    <row r="29" spans="1:13" x14ac:dyDescent="0.2">
      <c r="A29" t="s">
        <v>11</v>
      </c>
    </row>
    <row r="30" spans="1:13" x14ac:dyDescent="0.2">
      <c r="A30" t="s">
        <v>349</v>
      </c>
      <c r="J30" s="1"/>
      <c r="K30" s="1"/>
      <c r="L30" s="1"/>
      <c r="M30" s="1"/>
    </row>
    <row r="31" spans="1:13" x14ac:dyDescent="0.2">
      <c r="A31" t="s">
        <v>35</v>
      </c>
      <c r="C31" s="11">
        <f>C33/6</f>
        <v>871.61666666666667</v>
      </c>
    </row>
    <row r="32" spans="1:13" x14ac:dyDescent="0.2">
      <c r="A32" t="s">
        <v>36</v>
      </c>
      <c r="C32" s="11">
        <f>B22</f>
        <v>6200</v>
      </c>
    </row>
    <row r="33" spans="1:10" x14ac:dyDescent="0.2">
      <c r="A33" t="s">
        <v>37</v>
      </c>
      <c r="C33" s="11">
        <f>B23</f>
        <v>5229.7</v>
      </c>
      <c r="J33" s="12"/>
    </row>
    <row r="36" spans="1:10" x14ac:dyDescent="0.2">
      <c r="A36" t="s">
        <v>38</v>
      </c>
    </row>
    <row r="38" spans="1:10" x14ac:dyDescent="0.2">
      <c r="C38" s="1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8"/>
  <sheetViews>
    <sheetView workbookViewId="0">
      <selection activeCell="F45" sqref="F45"/>
    </sheetView>
  </sheetViews>
  <sheetFormatPr defaultColWidth="8.42578125" defaultRowHeight="12.75" x14ac:dyDescent="0.2"/>
  <cols>
    <col min="1" max="1" width="15.28515625" customWidth="1"/>
  </cols>
  <sheetData>
    <row r="2" spans="1:9" x14ac:dyDescent="0.2">
      <c r="A2" t="s">
        <v>350</v>
      </c>
    </row>
    <row r="4" spans="1:9" x14ac:dyDescent="0.2">
      <c r="C4" t="s">
        <v>351</v>
      </c>
      <c r="G4" t="s">
        <v>352</v>
      </c>
    </row>
    <row r="5" spans="1:9" x14ac:dyDescent="0.2">
      <c r="C5" t="s">
        <v>353</v>
      </c>
      <c r="D5" t="s">
        <v>354</v>
      </c>
      <c r="G5" t="s">
        <v>355</v>
      </c>
      <c r="H5" t="s">
        <v>356</v>
      </c>
      <c r="I5" t="s">
        <v>357</v>
      </c>
    </row>
    <row r="6" spans="1:9" x14ac:dyDescent="0.2">
      <c r="C6" s="1">
        <v>2030</v>
      </c>
      <c r="D6" s="1">
        <v>2975</v>
      </c>
      <c r="F6" s="1"/>
      <c r="G6" s="1">
        <v>3312</v>
      </c>
      <c r="H6" s="1">
        <v>4957</v>
      </c>
      <c r="I6" s="1">
        <v>3452</v>
      </c>
    </row>
    <row r="7" spans="1:9" x14ac:dyDescent="0.2">
      <c r="B7" t="s">
        <v>358</v>
      </c>
      <c r="C7" s="1">
        <v>35</v>
      </c>
      <c r="D7" s="1">
        <v>45</v>
      </c>
      <c r="F7" s="1"/>
      <c r="G7" s="1"/>
      <c r="H7" s="1"/>
      <c r="I7" s="1"/>
    </row>
    <row r="8" spans="1:9" x14ac:dyDescent="0.2">
      <c r="B8" t="s">
        <v>69</v>
      </c>
      <c r="C8" s="1">
        <f>(C6+C7)*1.06</f>
        <v>2188.9</v>
      </c>
      <c r="D8" s="1">
        <f>(D6+D7)*1.06</f>
        <v>3201.2000000000003</v>
      </c>
      <c r="F8" s="1"/>
      <c r="G8" s="1">
        <f>G6*1.06</f>
        <v>3510.7200000000003</v>
      </c>
      <c r="H8" s="1">
        <f>H6*1.06</f>
        <v>5254.42</v>
      </c>
      <c r="I8" s="1">
        <f>I6*1.06</f>
        <v>3659.1200000000003</v>
      </c>
    </row>
    <row r="9" spans="1:9" x14ac:dyDescent="0.2">
      <c r="A9" t="s">
        <v>68</v>
      </c>
      <c r="B9" s="3">
        <v>7</v>
      </c>
      <c r="C9" s="1">
        <f>C8/B9</f>
        <v>312.7</v>
      </c>
      <c r="D9" s="1">
        <f>D8/B9</f>
        <v>457.31428571428575</v>
      </c>
      <c r="F9" s="2">
        <v>7</v>
      </c>
      <c r="G9" s="1">
        <f>G8/7</f>
        <v>501.53142857142859</v>
      </c>
      <c r="H9" s="1">
        <f>H8/7</f>
        <v>750.63142857142861</v>
      </c>
      <c r="I9" s="1">
        <f>I8/7</f>
        <v>522.73142857142864</v>
      </c>
    </row>
    <row r="10" spans="1:9" x14ac:dyDescent="0.2">
      <c r="C10" s="1"/>
      <c r="D10" s="1"/>
      <c r="F10" s="1"/>
      <c r="G10" s="1"/>
      <c r="H10" s="1"/>
      <c r="I10" s="1"/>
    </row>
    <row r="11" spans="1:9" x14ac:dyDescent="0.2">
      <c r="A11" t="s">
        <v>359</v>
      </c>
      <c r="B11">
        <v>4</v>
      </c>
      <c r="C11" s="1">
        <f>C9/4</f>
        <v>78.174999999999997</v>
      </c>
      <c r="D11" s="1">
        <f>D9/4</f>
        <v>114.32857142857144</v>
      </c>
      <c r="F11" s="1"/>
      <c r="G11" s="1">
        <f>G8/4/$B$9</f>
        <v>125.38285714285715</v>
      </c>
      <c r="H11" s="1">
        <f>H8/4/$B$9</f>
        <v>187.65785714285715</v>
      </c>
      <c r="I11" s="1">
        <f>I8/4/$B$9</f>
        <v>130.68285714285716</v>
      </c>
    </row>
    <row r="12" spans="1:9" x14ac:dyDescent="0.2">
      <c r="A12">
        <v>7</v>
      </c>
      <c r="B12">
        <v>6</v>
      </c>
      <c r="C12" s="1">
        <f>C9/6</f>
        <v>52.116666666666667</v>
      </c>
      <c r="D12" s="1">
        <f>D9/6</f>
        <v>76.219047619047629</v>
      </c>
      <c r="F12" s="1"/>
      <c r="G12" s="1">
        <f>G8/6/$B$9</f>
        <v>83.588571428571427</v>
      </c>
      <c r="H12" s="1">
        <f>H8/6/$B$9</f>
        <v>125.10523809523809</v>
      </c>
      <c r="I12" s="1">
        <f>I8/6/$B$9</f>
        <v>87.121904761904759</v>
      </c>
    </row>
    <row r="13" spans="1:9" x14ac:dyDescent="0.2">
      <c r="A13">
        <v>8</v>
      </c>
      <c r="C13" s="1"/>
      <c r="D13" s="1">
        <f>D9/8</f>
        <v>57.164285714285718</v>
      </c>
      <c r="F13" s="1"/>
      <c r="G13" s="1"/>
      <c r="H13" s="1">
        <f>H9/8</f>
        <v>93.828928571428577</v>
      </c>
      <c r="I13" s="1">
        <f>I9/8</f>
        <v>65.34142857142858</v>
      </c>
    </row>
    <row r="14" spans="1:9" x14ac:dyDescent="0.2">
      <c r="C14" s="1"/>
      <c r="D14" s="1"/>
      <c r="F14" s="1"/>
      <c r="G14" s="1"/>
      <c r="H14" s="1"/>
      <c r="I14" s="1"/>
    </row>
    <row r="15" spans="1:9" x14ac:dyDescent="0.2">
      <c r="A15" t="s">
        <v>360</v>
      </c>
      <c r="C15" s="1">
        <v>28</v>
      </c>
      <c r="D15" s="1">
        <v>28</v>
      </c>
      <c r="F15" s="1"/>
      <c r="G15" s="1">
        <v>28</v>
      </c>
      <c r="H15" s="1">
        <v>28</v>
      </c>
      <c r="I15" s="1">
        <v>28</v>
      </c>
    </row>
    <row r="16" spans="1:9" x14ac:dyDescent="0.2">
      <c r="B16" t="s">
        <v>69</v>
      </c>
      <c r="C16" s="1">
        <f>C15*1.1</f>
        <v>30.800000000000004</v>
      </c>
      <c r="D16" s="1">
        <f>D15*1.1</f>
        <v>30.800000000000004</v>
      </c>
      <c r="F16" s="1"/>
      <c r="G16" s="1">
        <f>G15*1.1</f>
        <v>30.800000000000004</v>
      </c>
      <c r="H16" s="1">
        <f>H15*1.1</f>
        <v>30.800000000000004</v>
      </c>
      <c r="I16" s="1">
        <f>I15*1.1</f>
        <v>30.800000000000004</v>
      </c>
    </row>
    <row r="17" spans="1:9" x14ac:dyDescent="0.2">
      <c r="C17" s="1"/>
      <c r="D17" s="1"/>
      <c r="F17" s="1"/>
      <c r="G17" s="1"/>
      <c r="H17" s="1"/>
      <c r="I17" s="1"/>
    </row>
    <row r="18" spans="1:9" x14ac:dyDescent="0.2">
      <c r="A18" t="s">
        <v>361</v>
      </c>
      <c r="C18" s="1">
        <v>5</v>
      </c>
      <c r="D18" s="1">
        <v>5</v>
      </c>
      <c r="F18" s="1"/>
      <c r="G18" s="1">
        <f>30/7</f>
        <v>4.2857142857142856</v>
      </c>
      <c r="H18" s="1">
        <v>4.2857142857142856</v>
      </c>
      <c r="I18" s="1">
        <v>4.2857142857142856</v>
      </c>
    </row>
    <row r="19" spans="1:9" x14ac:dyDescent="0.2">
      <c r="C19" s="1"/>
      <c r="D19" s="1"/>
      <c r="F19" s="1"/>
      <c r="G19" s="1"/>
      <c r="H19" s="1"/>
      <c r="I19" s="1"/>
    </row>
    <row r="20" spans="1:9" x14ac:dyDescent="0.2">
      <c r="C20" s="1"/>
      <c r="D20" s="1"/>
      <c r="F20" s="1"/>
      <c r="G20" s="1"/>
      <c r="H20" s="1"/>
      <c r="I20" s="1"/>
    </row>
    <row r="21" spans="1:9" x14ac:dyDescent="0.2">
      <c r="A21" t="s">
        <v>362</v>
      </c>
      <c r="B21">
        <v>4</v>
      </c>
      <c r="C21" s="1">
        <f>C11+C$16+C$18</f>
        <v>113.97499999999999</v>
      </c>
      <c r="D21" s="1">
        <f>D11+D$16+D$18</f>
        <v>150.12857142857143</v>
      </c>
      <c r="F21" s="1"/>
      <c r="G21" s="1">
        <f>G11+G$16+G$18</f>
        <v>160.46857142857144</v>
      </c>
      <c r="H21" s="1"/>
      <c r="I21" s="1"/>
    </row>
    <row r="22" spans="1:9" x14ac:dyDescent="0.2">
      <c r="B22">
        <v>6</v>
      </c>
      <c r="C22" s="1">
        <f>C12+C$16+C$18</f>
        <v>87.916666666666671</v>
      </c>
      <c r="D22" s="1">
        <f>D12+D$16+D$18</f>
        <v>112.01904761904763</v>
      </c>
      <c r="F22" s="1"/>
      <c r="G22" s="1">
        <f>G12+G$16+G$18</f>
        <v>118.67428571428572</v>
      </c>
      <c r="H22" s="1">
        <f>H12+H$16+H$18</f>
        <v>160.19095238095238</v>
      </c>
      <c r="I22" s="1">
        <f>I12+I$16+I$18</f>
        <v>122.20761904761905</v>
      </c>
    </row>
    <row r="23" spans="1:9" x14ac:dyDescent="0.2">
      <c r="B23">
        <v>8</v>
      </c>
      <c r="C23" s="1"/>
      <c r="D23" s="1">
        <f>D13+D$16+D$18</f>
        <v>92.964285714285722</v>
      </c>
      <c r="E23" s="1"/>
      <c r="F23" s="1"/>
      <c r="G23" s="1"/>
      <c r="H23" s="1">
        <f>H13+H$16+H$18</f>
        <v>128.91464285714287</v>
      </c>
      <c r="I23" s="1">
        <f>I13+I$16+I$18</f>
        <v>100.42714285714287</v>
      </c>
    </row>
    <row r="24" spans="1:9" x14ac:dyDescent="0.2">
      <c r="C24" s="1"/>
      <c r="D24" s="1"/>
      <c r="E24" s="1"/>
      <c r="F24" s="1"/>
      <c r="G24" s="1"/>
      <c r="H24" s="1"/>
      <c r="I24" s="1"/>
    </row>
    <row r="25" spans="1:9" x14ac:dyDescent="0.2">
      <c r="C25" s="1">
        <v>88</v>
      </c>
      <c r="D25" s="1">
        <v>150</v>
      </c>
      <c r="E25" s="1"/>
      <c r="F25" s="1"/>
      <c r="G25" s="1"/>
      <c r="H25" s="1"/>
      <c r="I25" s="1"/>
    </row>
    <row r="26" spans="1:9" x14ac:dyDescent="0.2">
      <c r="A26" t="s">
        <v>91</v>
      </c>
      <c r="C26" s="1">
        <f>C25*7</f>
        <v>616</v>
      </c>
      <c r="D26" s="1">
        <f>D25*7</f>
        <v>1050</v>
      </c>
      <c r="E26" s="1"/>
      <c r="F26" s="1"/>
      <c r="G26" s="1"/>
      <c r="H26" s="1"/>
      <c r="I26" s="1"/>
    </row>
    <row r="27" spans="1:9" x14ac:dyDescent="0.2">
      <c r="C27" s="1"/>
      <c r="D27" s="1"/>
      <c r="E27" s="1"/>
      <c r="F27" s="1"/>
      <c r="G27" s="1"/>
      <c r="H27" s="1" t="s">
        <v>363</v>
      </c>
      <c r="I27" s="1"/>
    </row>
    <row r="28" spans="1:9" x14ac:dyDescent="0.2">
      <c r="A28" t="s">
        <v>70</v>
      </c>
      <c r="C28" s="1">
        <v>200</v>
      </c>
      <c r="D28" s="1">
        <v>200</v>
      </c>
      <c r="E28" s="1"/>
      <c r="F28" s="1"/>
      <c r="G28" s="1"/>
      <c r="H28" s="1"/>
      <c r="I28" s="1"/>
    </row>
    <row r="29" spans="1:9" x14ac:dyDescent="0.2">
      <c r="A29" t="s">
        <v>364</v>
      </c>
      <c r="C29" s="1">
        <v>90</v>
      </c>
      <c r="D29" s="1">
        <v>90</v>
      </c>
      <c r="E29" s="1"/>
      <c r="F29" s="1"/>
      <c r="G29" s="1"/>
      <c r="H29" s="1"/>
      <c r="I29" s="1"/>
    </row>
    <row r="30" spans="1:9" x14ac:dyDescent="0.2">
      <c r="C30" s="1"/>
      <c r="D30" s="1"/>
      <c r="E30" s="1"/>
      <c r="F30" s="1"/>
      <c r="G30" s="1"/>
      <c r="H30" s="1"/>
      <c r="I30" s="1"/>
    </row>
    <row r="31" spans="1:9" x14ac:dyDescent="0.2">
      <c r="C31" s="1">
        <f>SUM(C26:C29)</f>
        <v>906</v>
      </c>
      <c r="D31" s="1">
        <f>SUM(D26:D29)</f>
        <v>1340</v>
      </c>
      <c r="E31" s="1"/>
      <c r="F31" s="1"/>
      <c r="G31" s="1"/>
      <c r="H31" s="1"/>
      <c r="I31" s="1"/>
    </row>
    <row r="32" spans="1:9" x14ac:dyDescent="0.2">
      <c r="C32" s="1"/>
      <c r="D32" s="1"/>
      <c r="E32" s="1"/>
      <c r="F32" s="1"/>
      <c r="G32" s="1"/>
      <c r="H32" s="1"/>
      <c r="I32" s="1"/>
    </row>
    <row r="33" spans="3:9" x14ac:dyDescent="0.2">
      <c r="C33" s="1"/>
      <c r="D33" s="1"/>
      <c r="E33" s="1"/>
      <c r="F33" s="1"/>
      <c r="G33" s="1"/>
      <c r="H33" s="1"/>
      <c r="I33" s="1"/>
    </row>
    <row r="34" spans="3:9" x14ac:dyDescent="0.2">
      <c r="C34" s="1"/>
      <c r="D34" s="1"/>
      <c r="E34" s="1"/>
      <c r="F34" s="1"/>
      <c r="G34" s="1"/>
      <c r="H34" s="1"/>
      <c r="I34" s="1"/>
    </row>
    <row r="35" spans="3:9" x14ac:dyDescent="0.2">
      <c r="C35" s="1"/>
      <c r="D35" s="1"/>
      <c r="E35" s="1"/>
      <c r="F35" s="1"/>
      <c r="G35" s="1"/>
      <c r="H35" s="1"/>
      <c r="I35" s="1"/>
    </row>
    <row r="36" spans="3:9" x14ac:dyDescent="0.2">
      <c r="C36" s="1"/>
      <c r="D36" s="1"/>
      <c r="E36" s="1"/>
      <c r="F36" s="1"/>
      <c r="G36" s="1"/>
      <c r="H36" s="1"/>
      <c r="I36" s="1"/>
    </row>
    <row r="37" spans="3:9" x14ac:dyDescent="0.2">
      <c r="C37" s="1"/>
      <c r="D37" s="1"/>
      <c r="E37" s="1"/>
      <c r="F37" s="1"/>
      <c r="G37" s="1"/>
      <c r="H37" s="1"/>
      <c r="I37" s="1"/>
    </row>
    <row r="38" spans="3:9" x14ac:dyDescent="0.2">
      <c r="C38" s="1"/>
      <c r="D38" s="1"/>
      <c r="E38" s="1"/>
      <c r="F38" s="1"/>
      <c r="G38" s="1"/>
      <c r="H38" s="1"/>
      <c r="I38" s="1"/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topLeftCell="A13" workbookViewId="0">
      <selection activeCell="D33" sqref="D33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5" width="13.42578125" customWidth="1"/>
    <col min="6" max="6" width="12.28515625" customWidth="1"/>
    <col min="7" max="7" width="12.42578125" customWidth="1"/>
    <col min="8" max="8" width="12.5703125" customWidth="1"/>
    <col min="9" max="9" width="11.42578125" customWidth="1"/>
    <col min="10" max="10" width="11" customWidth="1"/>
  </cols>
  <sheetData>
    <row r="1" spans="1:14" x14ac:dyDescent="0.2">
      <c r="E1" s="36"/>
    </row>
    <row r="2" spans="1:14" x14ac:dyDescent="0.2">
      <c r="D2" t="s">
        <v>414</v>
      </c>
      <c r="E2" t="s">
        <v>414</v>
      </c>
      <c r="G2" s="36"/>
    </row>
    <row r="3" spans="1:14" x14ac:dyDescent="0.2">
      <c r="D3" t="s">
        <v>585</v>
      </c>
      <c r="E3" s="48" t="s">
        <v>586</v>
      </c>
      <c r="F3" s="36"/>
      <c r="G3" s="36"/>
      <c r="L3" s="36"/>
      <c r="M3" s="36"/>
      <c r="N3" s="36"/>
    </row>
    <row r="4" spans="1:14" x14ac:dyDescent="0.2">
      <c r="C4" s="36" t="s">
        <v>426</v>
      </c>
      <c r="D4" s="45" t="s">
        <v>427</v>
      </c>
      <c r="E4" s="40">
        <v>8</v>
      </c>
      <c r="F4" s="45"/>
      <c r="G4" s="39"/>
      <c r="L4" s="36"/>
      <c r="M4" s="36"/>
      <c r="N4" s="36"/>
    </row>
    <row r="5" spans="1:14" x14ac:dyDescent="0.2">
      <c r="B5" t="s">
        <v>42</v>
      </c>
      <c r="D5">
        <f>D6/$A$29</f>
        <v>1125</v>
      </c>
      <c r="E5">
        <f>E6/$A$29</f>
        <v>940</v>
      </c>
      <c r="G5" s="16"/>
      <c r="H5" s="16"/>
      <c r="L5" s="35"/>
    </row>
    <row r="6" spans="1:14" x14ac:dyDescent="0.2">
      <c r="B6" t="s">
        <v>43</v>
      </c>
      <c r="D6">
        <v>7875</v>
      </c>
      <c r="E6">
        <v>6580</v>
      </c>
    </row>
    <row r="7" spans="1:14" x14ac:dyDescent="0.2">
      <c r="A7">
        <v>0.1</v>
      </c>
      <c r="B7" t="s">
        <v>403</v>
      </c>
      <c r="D7">
        <f>$A7*D6*-1</f>
        <v>-787.5</v>
      </c>
      <c r="E7">
        <f>$A7*0*E6*-1</f>
        <v>0</v>
      </c>
    </row>
    <row r="8" spans="1:14" x14ac:dyDescent="0.2">
      <c r="A8">
        <v>0.05</v>
      </c>
      <c r="B8" t="s">
        <v>404</v>
      </c>
      <c r="D8">
        <f>$A8*(+D7+D6)*-1</f>
        <v>-354.375</v>
      </c>
      <c r="E8">
        <f>$A8*(+E7+E6)*-1</f>
        <v>-329</v>
      </c>
    </row>
    <row r="9" spans="1:14" x14ac:dyDescent="0.2">
      <c r="B9" t="s">
        <v>45</v>
      </c>
      <c r="D9">
        <v>0</v>
      </c>
      <c r="E9">
        <v>0</v>
      </c>
    </row>
    <row r="10" spans="1:14" x14ac:dyDescent="0.2">
      <c r="B10" t="s">
        <v>46</v>
      </c>
      <c r="D10">
        <v>455</v>
      </c>
      <c r="E10">
        <v>455</v>
      </c>
    </row>
    <row r="11" spans="1:14" x14ac:dyDescent="0.2">
      <c r="B11" t="s">
        <v>47</v>
      </c>
      <c r="D11">
        <v>350</v>
      </c>
      <c r="E11">
        <v>350</v>
      </c>
    </row>
    <row r="12" spans="1:14" x14ac:dyDescent="0.2">
      <c r="B12" t="s">
        <v>48</v>
      </c>
      <c r="D12">
        <v>0</v>
      </c>
      <c r="E12">
        <v>0</v>
      </c>
    </row>
    <row r="13" spans="1:14" x14ac:dyDescent="0.2">
      <c r="B13" s="48" t="s">
        <v>577</v>
      </c>
      <c r="D13">
        <v>0</v>
      </c>
      <c r="E13">
        <v>0</v>
      </c>
    </row>
    <row r="14" spans="1:14" x14ac:dyDescent="0.2">
      <c r="B14" t="s">
        <v>50</v>
      </c>
      <c r="D14">
        <v>0</v>
      </c>
      <c r="E14">
        <f>95*E24</f>
        <v>760</v>
      </c>
    </row>
    <row r="15" spans="1:14" x14ac:dyDescent="0.2">
      <c r="B15" t="s">
        <v>51</v>
      </c>
      <c r="D15">
        <v>0</v>
      </c>
      <c r="E15">
        <v>0</v>
      </c>
      <c r="F15" s="36"/>
      <c r="G15" s="36"/>
      <c r="H15" s="36"/>
      <c r="I15" s="36"/>
    </row>
    <row r="16" spans="1:14" x14ac:dyDescent="0.2">
      <c r="B16" s="36" t="s">
        <v>416</v>
      </c>
      <c r="D16" s="36">
        <f t="shared" ref="D16:E16" si="0">25*$A$29</f>
        <v>175</v>
      </c>
      <c r="E16" s="36">
        <f t="shared" si="0"/>
        <v>175</v>
      </c>
      <c r="F16" s="36"/>
      <c r="G16" s="36"/>
      <c r="H16" s="36"/>
      <c r="I16" s="36"/>
    </row>
    <row r="17" spans="1:12" x14ac:dyDescent="0.2">
      <c r="B17" t="s">
        <v>52</v>
      </c>
      <c r="D17" s="13">
        <v>0</v>
      </c>
      <c r="E17" s="13">
        <v>40</v>
      </c>
      <c r="F17" s="13"/>
      <c r="G17" s="13"/>
      <c r="H17" s="13"/>
      <c r="I17" s="13"/>
    </row>
    <row r="18" spans="1:12" x14ac:dyDescent="0.2">
      <c r="B18" t="s">
        <v>54</v>
      </c>
      <c r="D18">
        <v>0</v>
      </c>
      <c r="E18">
        <v>0</v>
      </c>
      <c r="F18" s="51" t="s">
        <v>592</v>
      </c>
      <c r="J18" s="36" t="s">
        <v>419</v>
      </c>
    </row>
    <row r="19" spans="1:12" x14ac:dyDescent="0.2">
      <c r="C19" t="s">
        <v>56</v>
      </c>
      <c r="D19" s="46">
        <f t="shared" ref="D19:I19" si="1">SUM(D6:D18)</f>
        <v>7713.125</v>
      </c>
      <c r="E19" s="46">
        <f t="shared" si="1"/>
        <v>8031</v>
      </c>
      <c r="F19" s="46">
        <f t="shared" si="1"/>
        <v>0</v>
      </c>
      <c r="G19" s="46">
        <f t="shared" si="1"/>
        <v>0</v>
      </c>
      <c r="H19" s="46">
        <f t="shared" si="1"/>
        <v>0</v>
      </c>
      <c r="I19" s="46">
        <f t="shared" si="1"/>
        <v>0</v>
      </c>
      <c r="J19" s="46">
        <f>D19+E19</f>
        <v>15744.125</v>
      </c>
    </row>
    <row r="20" spans="1:12" x14ac:dyDescent="0.2">
      <c r="D20" s="23"/>
      <c r="E20" s="23"/>
      <c r="F20" s="23"/>
      <c r="G20" s="23"/>
      <c r="H20" s="23"/>
    </row>
    <row r="22" spans="1:12" x14ac:dyDescent="0.2">
      <c r="E22" t="s">
        <v>57</v>
      </c>
      <c r="H22" s="1">
        <f>J19/A27/A29</f>
        <v>132.30357142857142</v>
      </c>
      <c r="I22" s="1">
        <f>H22*2</f>
        <v>264.60714285714283</v>
      </c>
      <c r="J22" t="s">
        <v>58</v>
      </c>
    </row>
    <row r="24" spans="1:12" x14ac:dyDescent="0.2">
      <c r="A24" s="17" t="s">
        <v>591</v>
      </c>
      <c r="B24" s="17"/>
      <c r="C24" s="17"/>
      <c r="D24" s="17">
        <v>8</v>
      </c>
      <c r="E24" s="17">
        <v>8</v>
      </c>
      <c r="F24" s="17">
        <v>17</v>
      </c>
      <c r="G24" s="1"/>
      <c r="H24" s="1"/>
      <c r="I24" s="1"/>
    </row>
    <row r="25" spans="1:12" x14ac:dyDescent="0.2">
      <c r="A25" s="17"/>
      <c r="B25" s="17"/>
      <c r="C25" s="17" t="s">
        <v>61</v>
      </c>
      <c r="D25" s="22">
        <f>D19/D24</f>
        <v>964.140625</v>
      </c>
      <c r="E25" s="22">
        <f>E19/E24</f>
        <v>1003.875</v>
      </c>
      <c r="F25" s="22">
        <f>J19/F24</f>
        <v>926.125</v>
      </c>
      <c r="G25" s="21"/>
      <c r="H25" s="1"/>
      <c r="I25" s="1"/>
      <c r="J25" s="36" t="s">
        <v>423</v>
      </c>
    </row>
    <row r="26" spans="1:12" x14ac:dyDescent="0.2">
      <c r="A26" s="17"/>
      <c r="B26" s="17"/>
      <c r="C26" s="17"/>
      <c r="D26" s="17"/>
      <c r="E26" s="17"/>
      <c r="F26" s="17"/>
      <c r="G26" s="21"/>
      <c r="H26" s="1"/>
      <c r="I26" s="1"/>
      <c r="J26">
        <v>1624</v>
      </c>
      <c r="K26" s="48" t="s">
        <v>587</v>
      </c>
    </row>
    <row r="27" spans="1:12" x14ac:dyDescent="0.2">
      <c r="A27" s="18">
        <v>17</v>
      </c>
      <c r="B27" s="18" t="s">
        <v>62</v>
      </c>
      <c r="C27" s="18"/>
      <c r="D27" s="18"/>
      <c r="E27" s="18"/>
      <c r="F27" s="18"/>
      <c r="G27" s="18"/>
      <c r="H27" s="18"/>
      <c r="J27">
        <v>1388</v>
      </c>
      <c r="K27" s="48" t="s">
        <v>588</v>
      </c>
    </row>
    <row r="28" spans="1:12" x14ac:dyDescent="0.2">
      <c r="A28" s="18">
        <v>0</v>
      </c>
      <c r="B28" s="38" t="s">
        <v>420</v>
      </c>
      <c r="C28" s="18"/>
      <c r="D28" s="18"/>
      <c r="E28" s="18"/>
      <c r="F28" s="18"/>
      <c r="G28" s="18"/>
      <c r="H28" s="18"/>
      <c r="K28" s="36" t="s">
        <v>568</v>
      </c>
    </row>
    <row r="29" spans="1:12" x14ac:dyDescent="0.2">
      <c r="A29" s="18">
        <v>7</v>
      </c>
      <c r="B29" s="38" t="s">
        <v>432</v>
      </c>
      <c r="C29" s="18"/>
      <c r="D29" s="18"/>
      <c r="E29" s="18"/>
      <c r="F29" s="18"/>
      <c r="G29" s="18"/>
      <c r="H29" s="18"/>
      <c r="K29" t="s">
        <v>569</v>
      </c>
    </row>
    <row r="30" spans="1:12" x14ac:dyDescent="0.2">
      <c r="A30" s="18"/>
      <c r="B30" s="18"/>
      <c r="C30" s="18"/>
      <c r="D30" s="18"/>
      <c r="E30" s="18"/>
      <c r="F30" s="18"/>
      <c r="G30" s="18"/>
      <c r="H30" s="18"/>
      <c r="J30" s="47"/>
      <c r="K30" s="47" t="s">
        <v>576</v>
      </c>
      <c r="L30" s="47"/>
    </row>
    <row r="31" spans="1:12" x14ac:dyDescent="0.2">
      <c r="A31" s="18"/>
      <c r="B31" s="18"/>
      <c r="C31" s="18"/>
      <c r="D31" s="18"/>
      <c r="E31" s="18"/>
      <c r="F31" s="18"/>
      <c r="G31" s="38" t="s">
        <v>565</v>
      </c>
      <c r="H31" s="18"/>
    </row>
    <row r="32" spans="1:12" x14ac:dyDescent="0.2">
      <c r="A32" s="18" t="s">
        <v>66</v>
      </c>
      <c r="B32" s="18"/>
      <c r="C32" s="19"/>
      <c r="D32" s="19"/>
      <c r="E32" s="18" t="s">
        <v>55</v>
      </c>
      <c r="F32" s="19"/>
      <c r="G32" s="19">
        <f>$J$19/$A$27</f>
        <v>926.125</v>
      </c>
      <c r="H32" s="19"/>
      <c r="I32" s="1"/>
      <c r="J32" t="s">
        <v>589</v>
      </c>
    </row>
    <row r="33" spans="1:12" x14ac:dyDescent="0.2">
      <c r="A33" s="18" t="s">
        <v>67</v>
      </c>
      <c r="B33" s="18"/>
      <c r="C33" s="19" t="s">
        <v>68</v>
      </c>
      <c r="D33" s="19">
        <v>45</v>
      </c>
      <c r="E33" s="20" t="s">
        <v>405</v>
      </c>
      <c r="F33" s="19"/>
      <c r="G33" s="19">
        <f>D33*$A$29</f>
        <v>315</v>
      </c>
      <c r="H33" s="19"/>
      <c r="I33" s="1"/>
      <c r="J33">
        <v>1506</v>
      </c>
      <c r="K33" t="s">
        <v>590</v>
      </c>
    </row>
    <row r="34" spans="1:12" x14ac:dyDescent="0.2">
      <c r="A34" s="18"/>
      <c r="B34" s="18" t="s">
        <v>69</v>
      </c>
      <c r="C34" s="19" t="s">
        <v>68</v>
      </c>
      <c r="D34" s="19"/>
      <c r="E34" s="18"/>
      <c r="F34" s="19"/>
      <c r="G34" s="19">
        <f>D34*$A$29</f>
        <v>0</v>
      </c>
      <c r="H34" s="19"/>
      <c r="I34" s="1"/>
      <c r="J34" s="47"/>
      <c r="K34" s="47"/>
      <c r="L34" s="47"/>
    </row>
    <row r="35" spans="1:12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12" x14ac:dyDescent="0.2">
      <c r="A36" s="18" t="s">
        <v>70</v>
      </c>
      <c r="B36" s="18"/>
      <c r="C36" s="19" t="s">
        <v>71</v>
      </c>
      <c r="D36" s="19">
        <v>200</v>
      </c>
      <c r="E36" s="18"/>
      <c r="F36" s="19"/>
      <c r="G36" s="19">
        <f>D36</f>
        <v>200</v>
      </c>
      <c r="H36" s="19"/>
      <c r="I36" s="1"/>
      <c r="J36" t="s">
        <v>572</v>
      </c>
    </row>
    <row r="37" spans="1:12" x14ac:dyDescent="0.2">
      <c r="A37" s="18" t="s">
        <v>72</v>
      </c>
      <c r="B37" s="18"/>
      <c r="C37" s="19"/>
      <c r="D37" s="19"/>
      <c r="E37" s="18"/>
      <c r="F37" s="19"/>
      <c r="G37" s="19">
        <v>60</v>
      </c>
      <c r="H37" s="19"/>
      <c r="I37" s="1"/>
      <c r="J37">
        <v>1942</v>
      </c>
      <c r="K37" t="s">
        <v>571</v>
      </c>
    </row>
    <row r="38" spans="1:12" x14ac:dyDescent="0.2">
      <c r="A38" s="18"/>
      <c r="B38" s="18"/>
      <c r="C38" s="19"/>
      <c r="D38" s="19"/>
      <c r="E38" s="18"/>
      <c r="F38" s="19"/>
      <c r="G38" s="19"/>
      <c r="H38" s="19"/>
      <c r="I38" s="1"/>
      <c r="J38">
        <v>2204</v>
      </c>
      <c r="K38" t="s">
        <v>573</v>
      </c>
    </row>
    <row r="39" spans="1:12" x14ac:dyDescent="0.2">
      <c r="A39" s="18"/>
      <c r="B39" s="18"/>
      <c r="C39" s="19"/>
      <c r="D39" s="19"/>
      <c r="E39" s="18" t="s">
        <v>73</v>
      </c>
      <c r="F39" s="19"/>
      <c r="G39" s="19">
        <f>SUM(G32:G38)</f>
        <v>1501.125</v>
      </c>
      <c r="H39" s="19"/>
      <c r="I39" s="1"/>
      <c r="J39" s="36"/>
    </row>
    <row r="40" spans="1:12" x14ac:dyDescent="0.2">
      <c r="C40" s="1"/>
      <c r="D40" s="1"/>
      <c r="F40" s="1"/>
      <c r="G40" s="1"/>
      <c r="H40" s="1"/>
      <c r="I40" s="1"/>
    </row>
    <row r="41" spans="1:12" x14ac:dyDescent="0.2">
      <c r="C41" s="1"/>
      <c r="D41" s="1"/>
      <c r="E41" s="1"/>
      <c r="G41" s="1"/>
      <c r="H41" s="1"/>
      <c r="I41" s="1"/>
    </row>
    <row r="42" spans="1:12" x14ac:dyDescent="0.2">
      <c r="C42" s="1"/>
      <c r="D42" s="1"/>
      <c r="E42" s="1"/>
      <c r="G42" s="23"/>
      <c r="H42" s="1"/>
      <c r="I42" s="1"/>
    </row>
    <row r="46" spans="1:12" x14ac:dyDescent="0.2">
      <c r="C46" s="1"/>
      <c r="D46" s="1"/>
      <c r="E46" s="1"/>
      <c r="F46" s="1"/>
      <c r="G46" s="1"/>
      <c r="H46" s="1"/>
      <c r="I46" s="1"/>
    </row>
    <row r="47" spans="1:12" x14ac:dyDescent="0.2">
      <c r="C47" s="1"/>
      <c r="D47" s="1"/>
      <c r="E47" s="1"/>
      <c r="F47" s="1"/>
      <c r="G47" s="1"/>
      <c r="H47" s="1"/>
      <c r="I47" s="1"/>
    </row>
    <row r="48" spans="1:12" x14ac:dyDescent="0.2">
      <c r="C48" s="1"/>
      <c r="D48" s="1"/>
      <c r="E48" s="1"/>
      <c r="F48" s="1"/>
      <c r="G48" s="1"/>
      <c r="H48" s="1"/>
      <c r="I48" s="1"/>
    </row>
    <row r="49" spans="3:9" x14ac:dyDescent="0.2">
      <c r="C49" s="1"/>
      <c r="D49" s="1"/>
      <c r="E49" s="1"/>
      <c r="F49" s="1"/>
      <c r="G49" s="1"/>
      <c r="H49" s="1"/>
      <c r="I49" s="1"/>
    </row>
    <row r="50" spans="3:9" x14ac:dyDescent="0.2">
      <c r="C50" s="1"/>
      <c r="D50" s="1"/>
      <c r="E50" s="1"/>
      <c r="F50" s="1"/>
      <c r="G50" s="1"/>
      <c r="H50" s="1"/>
      <c r="I50" s="1"/>
    </row>
    <row r="51" spans="3:9" x14ac:dyDescent="0.2">
      <c r="C51" s="1"/>
      <c r="D51" s="1"/>
      <c r="E51" s="1"/>
      <c r="F51" s="1"/>
      <c r="G51" s="1"/>
      <c r="H51" s="1"/>
      <c r="I51" s="1"/>
    </row>
    <row r="52" spans="3:9" x14ac:dyDescent="0.2">
      <c r="C52" s="1"/>
      <c r="D52" s="1"/>
      <c r="E52" s="1"/>
      <c r="F52" s="1"/>
      <c r="G52" s="1"/>
      <c r="H52" s="1"/>
      <c r="I52" s="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41"/>
  <sheetViews>
    <sheetView topLeftCell="A7" workbookViewId="0">
      <pane ySplit="765" topLeftCell="A6" activePane="bottomLeft"/>
      <selection activeCell="A7" sqref="A7"/>
      <selection pane="bottomLeft" activeCell="A7" sqref="A7"/>
    </sheetView>
  </sheetViews>
  <sheetFormatPr defaultColWidth="8.42578125" defaultRowHeight="12.75" x14ac:dyDescent="0.2"/>
  <cols>
    <col min="1" max="1" width="13.140625" customWidth="1"/>
    <col min="2" max="2" width="11.5703125" bestFit="1" customWidth="1"/>
    <col min="3" max="3" width="11.140625" customWidth="1"/>
    <col min="4" max="4" width="8.5703125" customWidth="1"/>
    <col min="5" max="5" width="10" customWidth="1"/>
    <col min="6" max="6" width="8" customWidth="1"/>
    <col min="7" max="7" width="11.5703125" bestFit="1" customWidth="1"/>
    <col min="8" max="8" width="13" bestFit="1" customWidth="1"/>
    <col min="9" max="10" width="11.5703125" bestFit="1" customWidth="1"/>
    <col min="11" max="11" width="8.42578125" bestFit="1" customWidth="1"/>
    <col min="12" max="12" width="7.85546875" customWidth="1"/>
  </cols>
  <sheetData>
    <row r="5" spans="1:13" x14ac:dyDescent="0.2">
      <c r="A5" t="s">
        <v>365</v>
      </c>
    </row>
    <row r="7" spans="1:13" x14ac:dyDescent="0.2">
      <c r="A7" t="s">
        <v>1</v>
      </c>
      <c r="C7" t="s">
        <v>2</v>
      </c>
      <c r="D7" t="s">
        <v>3</v>
      </c>
      <c r="E7" t="s">
        <v>105</v>
      </c>
      <c r="F7" t="s">
        <v>106</v>
      </c>
      <c r="G7" t="s">
        <v>4</v>
      </c>
      <c r="H7" t="s">
        <v>366</v>
      </c>
      <c r="I7" t="s">
        <v>367</v>
      </c>
      <c r="J7" t="s">
        <v>75</v>
      </c>
      <c r="K7" t="s">
        <v>368</v>
      </c>
      <c r="L7" t="s">
        <v>369</v>
      </c>
      <c r="M7" t="s">
        <v>5</v>
      </c>
    </row>
    <row r="8" spans="1:13" x14ac:dyDescent="0.2">
      <c r="B8" t="s">
        <v>11</v>
      </c>
      <c r="C8" s="5">
        <v>1</v>
      </c>
      <c r="D8" s="5">
        <v>2</v>
      </c>
      <c r="E8" s="5">
        <v>1316</v>
      </c>
      <c r="F8" s="5">
        <v>1316</v>
      </c>
      <c r="G8" s="5">
        <v>1395</v>
      </c>
      <c r="H8" s="5">
        <v>1528</v>
      </c>
      <c r="I8" s="5">
        <v>421</v>
      </c>
      <c r="J8" s="5"/>
      <c r="K8" s="5"/>
      <c r="L8" s="5"/>
    </row>
    <row r="9" spans="1:13" x14ac:dyDescent="0.2">
      <c r="B9" t="s">
        <v>12</v>
      </c>
      <c r="C9">
        <v>300</v>
      </c>
      <c r="D9">
        <v>300</v>
      </c>
      <c r="E9">
        <v>300</v>
      </c>
      <c r="F9">
        <v>300</v>
      </c>
      <c r="G9">
        <v>300</v>
      </c>
      <c r="H9">
        <v>300</v>
      </c>
      <c r="I9">
        <v>300</v>
      </c>
      <c r="J9">
        <v>0</v>
      </c>
      <c r="K9">
        <v>0</v>
      </c>
      <c r="L9">
        <v>0</v>
      </c>
    </row>
    <row r="10" spans="1:13" x14ac:dyDescent="0.2">
      <c r="B10" t="s">
        <v>13</v>
      </c>
      <c r="C10">
        <v>900</v>
      </c>
      <c r="D10">
        <v>900</v>
      </c>
      <c r="G10">
        <v>0</v>
      </c>
      <c r="H10">
        <v>900</v>
      </c>
      <c r="I10">
        <v>900</v>
      </c>
      <c r="J10">
        <v>1200</v>
      </c>
      <c r="K10">
        <v>1200</v>
      </c>
      <c r="L10">
        <v>1200</v>
      </c>
      <c r="M10">
        <v>1200</v>
      </c>
    </row>
    <row r="11" spans="1:13" x14ac:dyDescent="0.2">
      <c r="C11" t="s">
        <v>370</v>
      </c>
    </row>
    <row r="13" spans="1:13" x14ac:dyDescent="0.2">
      <c r="A13" t="s">
        <v>17</v>
      </c>
      <c r="C13">
        <f t="shared" ref="C13:M13" si="0">SUM(C9:C12)</f>
        <v>1200</v>
      </c>
      <c r="D13">
        <f t="shared" si="0"/>
        <v>1200</v>
      </c>
      <c r="E13">
        <f t="shared" si="0"/>
        <v>300</v>
      </c>
      <c r="F13">
        <f t="shared" si="0"/>
        <v>300</v>
      </c>
      <c r="G13">
        <f t="shared" si="0"/>
        <v>300</v>
      </c>
      <c r="H13">
        <f t="shared" si="0"/>
        <v>1200</v>
      </c>
      <c r="I13">
        <f t="shared" si="0"/>
        <v>1200</v>
      </c>
      <c r="J13">
        <f t="shared" si="0"/>
        <v>1200</v>
      </c>
      <c r="K13">
        <f t="shared" si="0"/>
        <v>1200</v>
      </c>
      <c r="L13">
        <f t="shared" si="0"/>
        <v>1200</v>
      </c>
      <c r="M13">
        <f t="shared" si="0"/>
        <v>1200</v>
      </c>
    </row>
    <row r="15" spans="1:13" x14ac:dyDescent="0.2">
      <c r="A15" t="s">
        <v>18</v>
      </c>
      <c r="B15" s="7">
        <f>SUM(C15:M15)</f>
        <v>9770.2932203389828</v>
      </c>
      <c r="C15" s="9">
        <f t="shared" ref="C15:M15" si="1">SUM(C17:C25)</f>
        <v>2850.969491525424</v>
      </c>
      <c r="D15" s="8">
        <f t="shared" si="1"/>
        <v>17.899999999999999</v>
      </c>
      <c r="E15" s="8">
        <f t="shared" si="1"/>
        <v>3203.3728813559319</v>
      </c>
      <c r="F15" s="8">
        <f t="shared" si="1"/>
        <v>165</v>
      </c>
      <c r="G15" s="8">
        <f t="shared" si="1"/>
        <v>1072.0338983050847</v>
      </c>
      <c r="H15" s="10">
        <f t="shared" si="1"/>
        <v>1991.593220338983</v>
      </c>
      <c r="I15" s="8">
        <f t="shared" si="1"/>
        <v>227.61016949152543</v>
      </c>
      <c r="J15" s="8">
        <f t="shared" si="1"/>
        <v>173.5593220338983</v>
      </c>
      <c r="K15" s="8">
        <f t="shared" si="1"/>
        <v>0</v>
      </c>
      <c r="L15" s="8">
        <f t="shared" si="1"/>
        <v>53.254237288135592</v>
      </c>
      <c r="M15" s="8">
        <f t="shared" si="1"/>
        <v>15</v>
      </c>
    </row>
    <row r="16" spans="1:13" x14ac:dyDescent="0.2">
      <c r="A16" t="s">
        <v>19</v>
      </c>
      <c r="C16" t="s">
        <v>371</v>
      </c>
      <c r="E16" t="s">
        <v>372</v>
      </c>
      <c r="G16" t="s">
        <v>373</v>
      </c>
    </row>
    <row r="17" spans="1:13" x14ac:dyDescent="0.2">
      <c r="B17" t="s">
        <v>23</v>
      </c>
      <c r="C17">
        <v>862.2</v>
      </c>
      <c r="E17">
        <v>2911</v>
      </c>
      <c r="F17">
        <v>106</v>
      </c>
      <c r="G17">
        <v>900</v>
      </c>
      <c r="H17" s="7">
        <f>223738/118</f>
        <v>1896.0847457627119</v>
      </c>
      <c r="I17">
        <f>5796/118</f>
        <v>49.118644067796609</v>
      </c>
      <c r="J17">
        <f>9964/118</f>
        <v>84.440677966101688</v>
      </c>
      <c r="L17">
        <v>18</v>
      </c>
      <c r="M17">
        <v>15</v>
      </c>
    </row>
    <row r="18" spans="1:13" x14ac:dyDescent="0.2">
      <c r="C18">
        <v>1842.6</v>
      </c>
      <c r="D18">
        <v>17.899999999999999</v>
      </c>
      <c r="E18">
        <v>0</v>
      </c>
      <c r="F18">
        <v>30</v>
      </c>
      <c r="H18" s="7">
        <f>8000/118</f>
        <v>67.79661016949153</v>
      </c>
      <c r="I18">
        <v>40</v>
      </c>
      <c r="J18">
        <v>40</v>
      </c>
      <c r="L18">
        <f>1800/118</f>
        <v>15.254237288135593</v>
      </c>
    </row>
    <row r="19" spans="1:13" x14ac:dyDescent="0.2">
      <c r="F19">
        <v>29</v>
      </c>
      <c r="G19">
        <f>20300/118</f>
        <v>172.03389830508473</v>
      </c>
      <c r="H19">
        <v>15</v>
      </c>
      <c r="I19" s="7">
        <f>9964/118</f>
        <v>84.440677966101688</v>
      </c>
      <c r="J19">
        <f>5796/118</f>
        <v>49.118644067796609</v>
      </c>
      <c r="L19">
        <v>20</v>
      </c>
    </row>
    <row r="20" spans="1:13" x14ac:dyDescent="0.2">
      <c r="C20">
        <f>2*6500/118</f>
        <v>110.16949152542372</v>
      </c>
      <c r="E20">
        <f>24500/118</f>
        <v>207.62711864406779</v>
      </c>
      <c r="H20">
        <f>1500/118</f>
        <v>12.711864406779661</v>
      </c>
      <c r="I20">
        <f>6378/118</f>
        <v>54.050847457627121</v>
      </c>
    </row>
    <row r="21" spans="1:13" x14ac:dyDescent="0.2">
      <c r="E21">
        <f>10000/118</f>
        <v>84.745762711864401</v>
      </c>
    </row>
    <row r="22" spans="1:13" x14ac:dyDescent="0.2">
      <c r="C22">
        <v>36</v>
      </c>
    </row>
    <row r="26" spans="1:13" x14ac:dyDescent="0.2">
      <c r="A26" t="s">
        <v>24</v>
      </c>
      <c r="B26" s="4" t="s">
        <v>127</v>
      </c>
    </row>
    <row r="27" spans="1:13" x14ac:dyDescent="0.2">
      <c r="A27" t="s">
        <v>26</v>
      </c>
      <c r="B27">
        <f>1200*11</f>
        <v>13200</v>
      </c>
    </row>
    <row r="28" spans="1:13" x14ac:dyDescent="0.2">
      <c r="A28" t="s">
        <v>29</v>
      </c>
      <c r="B28">
        <f>+B15</f>
        <v>9770.2932203389828</v>
      </c>
      <c r="C28" t="s">
        <v>85</v>
      </c>
      <c r="D28" s="1">
        <f>B28/11</f>
        <v>888.20847457627121</v>
      </c>
      <c r="E28">
        <f>1200-D28</f>
        <v>311.79152542372879</v>
      </c>
    </row>
    <row r="29" spans="1:13" x14ac:dyDescent="0.2">
      <c r="A29" t="s">
        <v>30</v>
      </c>
      <c r="B29">
        <f>B27-B28</f>
        <v>3429.7067796610172</v>
      </c>
      <c r="C29">
        <f t="shared" ref="C29:M29" si="2">C13+C15</f>
        <v>4050.969491525424</v>
      </c>
      <c r="D29">
        <f t="shared" si="2"/>
        <v>1217.9000000000001</v>
      </c>
      <c r="E29">
        <f t="shared" si="2"/>
        <v>3503.3728813559319</v>
      </c>
      <c r="F29">
        <f t="shared" si="2"/>
        <v>465</v>
      </c>
      <c r="G29">
        <f t="shared" si="2"/>
        <v>1372.0338983050847</v>
      </c>
      <c r="H29">
        <f t="shared" si="2"/>
        <v>3191.593220338983</v>
      </c>
      <c r="I29">
        <f t="shared" si="2"/>
        <v>1427.6101694915255</v>
      </c>
      <c r="J29">
        <f t="shared" si="2"/>
        <v>1373.5593220338983</v>
      </c>
      <c r="K29">
        <f t="shared" si="2"/>
        <v>1200</v>
      </c>
      <c r="L29">
        <f t="shared" si="2"/>
        <v>1253.2542372881355</v>
      </c>
      <c r="M29">
        <f t="shared" si="2"/>
        <v>1215</v>
      </c>
    </row>
    <row r="30" spans="1:13" x14ac:dyDescent="0.2">
      <c r="A30" t="s">
        <v>31</v>
      </c>
      <c r="C30" s="1">
        <f>C29-$D$28-1200</f>
        <v>1962.7610169491527</v>
      </c>
      <c r="D30" s="1">
        <f t="shared" ref="D30:M30" si="3">D29-$D$28</f>
        <v>329.69152542372888</v>
      </c>
      <c r="E30" s="1">
        <f t="shared" si="3"/>
        <v>2615.1644067796606</v>
      </c>
      <c r="F30" s="1">
        <f t="shared" si="3"/>
        <v>-423.20847457627121</v>
      </c>
      <c r="G30" s="1">
        <f t="shared" si="3"/>
        <v>483.82542372881346</v>
      </c>
      <c r="H30" s="1">
        <f t="shared" si="3"/>
        <v>2303.3847457627116</v>
      </c>
      <c r="I30" s="1">
        <f t="shared" si="3"/>
        <v>539.40169491525432</v>
      </c>
      <c r="J30" s="1">
        <f t="shared" si="3"/>
        <v>485.35084745762708</v>
      </c>
      <c r="K30" s="1">
        <f t="shared" si="3"/>
        <v>311.79152542372879</v>
      </c>
      <c r="L30" s="1">
        <f t="shared" si="3"/>
        <v>365.04576271186431</v>
      </c>
      <c r="M30" s="1">
        <f t="shared" si="3"/>
        <v>326.79152542372879</v>
      </c>
    </row>
    <row r="31" spans="1:13" x14ac:dyDescent="0.2">
      <c r="A31" t="s">
        <v>347</v>
      </c>
      <c r="B31">
        <f>1200-D28</f>
        <v>311.79152542372879</v>
      </c>
      <c r="C31">
        <f>C30+D30</f>
        <v>2292.4525423728815</v>
      </c>
      <c r="E31">
        <f>E30+F30</f>
        <v>2191.9559322033892</v>
      </c>
      <c r="J31" t="s">
        <v>374</v>
      </c>
    </row>
    <row r="32" spans="1:13" x14ac:dyDescent="0.2">
      <c r="E32">
        <v>-2000</v>
      </c>
      <c r="H32">
        <v>-2000</v>
      </c>
      <c r="J32">
        <f>9000/118</f>
        <v>76.271186440677965</v>
      </c>
    </row>
    <row r="33" spans="1:13" x14ac:dyDescent="0.2">
      <c r="E33">
        <f>SUM(E31:E32)</f>
        <v>191.95593220338924</v>
      </c>
      <c r="J33" s="12">
        <f>J32+J30+K30</f>
        <v>873.41355932203385</v>
      </c>
    </row>
    <row r="34" spans="1:13" x14ac:dyDescent="0.2">
      <c r="A34" t="s">
        <v>11</v>
      </c>
      <c r="E34">
        <v>1655</v>
      </c>
      <c r="F34" t="s">
        <v>375</v>
      </c>
      <c r="G34">
        <v>1657</v>
      </c>
      <c r="H34">
        <v>1658</v>
      </c>
      <c r="I34">
        <v>1659</v>
      </c>
      <c r="J34">
        <v>1660</v>
      </c>
      <c r="K34" t="s">
        <v>375</v>
      </c>
      <c r="L34">
        <v>1661</v>
      </c>
      <c r="M34">
        <v>1662</v>
      </c>
    </row>
    <row r="35" spans="1:13" x14ac:dyDescent="0.2">
      <c r="A35" t="s">
        <v>376</v>
      </c>
    </row>
    <row r="36" spans="1:13" x14ac:dyDescent="0.2">
      <c r="A36" t="s">
        <v>35</v>
      </c>
      <c r="C36" s="11">
        <v>888</v>
      </c>
    </row>
    <row r="37" spans="1:13" x14ac:dyDescent="0.2">
      <c r="A37" t="s">
        <v>36</v>
      </c>
      <c r="C37" s="11">
        <v>13200</v>
      </c>
    </row>
    <row r="38" spans="1:13" x14ac:dyDescent="0.2">
      <c r="A38" t="s">
        <v>37</v>
      </c>
      <c r="C38" s="11">
        <v>9770</v>
      </c>
    </row>
    <row r="39" spans="1:13" x14ac:dyDescent="0.2">
      <c r="A39" t="s">
        <v>137</v>
      </c>
      <c r="C39">
        <f>1200-888</f>
        <v>312</v>
      </c>
    </row>
    <row r="41" spans="1:13" x14ac:dyDescent="0.2">
      <c r="A41" t="s">
        <v>38</v>
      </c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"/>
  <sheetViews>
    <sheetView workbookViewId="0">
      <selection activeCell="E42" sqref="E42"/>
    </sheetView>
  </sheetViews>
  <sheetFormatPr defaultColWidth="8.42578125" defaultRowHeight="12.75" x14ac:dyDescent="0.2"/>
  <cols>
    <col min="1" max="2" width="6.140625" customWidth="1"/>
    <col min="3" max="3" width="4.7109375" customWidth="1"/>
    <col min="4" max="4" width="23.28515625" customWidth="1"/>
    <col min="5" max="8" width="8.42578125" bestFit="1" customWidth="1"/>
    <col min="9" max="9" width="4.85546875" customWidth="1"/>
  </cols>
  <sheetData>
    <row r="1" spans="1:11" x14ac:dyDescent="0.2">
      <c r="D1" t="s">
        <v>377</v>
      </c>
      <c r="H1" t="s">
        <v>157</v>
      </c>
    </row>
    <row r="2" spans="1:11" x14ac:dyDescent="0.2">
      <c r="A2" t="s">
        <v>158</v>
      </c>
      <c r="B2" t="s">
        <v>159</v>
      </c>
      <c r="J2">
        <v>120</v>
      </c>
      <c r="K2" t="s">
        <v>378</v>
      </c>
    </row>
    <row r="3" spans="1:11" x14ac:dyDescent="0.2">
      <c r="E3" t="s">
        <v>161</v>
      </c>
      <c r="F3" t="s">
        <v>162</v>
      </c>
      <c r="G3" t="s">
        <v>163</v>
      </c>
      <c r="H3" t="s">
        <v>164</v>
      </c>
      <c r="J3" t="s">
        <v>165</v>
      </c>
      <c r="K3" t="s">
        <v>166</v>
      </c>
    </row>
    <row r="4" spans="1:11" x14ac:dyDescent="0.2">
      <c r="C4" t="s">
        <v>167</v>
      </c>
      <c r="F4" t="s">
        <v>168</v>
      </c>
      <c r="H4" t="s">
        <v>168</v>
      </c>
      <c r="J4" t="s">
        <v>169</v>
      </c>
      <c r="K4" t="s">
        <v>169</v>
      </c>
    </row>
    <row r="5" spans="1:11" x14ac:dyDescent="0.2">
      <c r="A5">
        <v>2</v>
      </c>
      <c r="B5">
        <v>1</v>
      </c>
      <c r="D5" t="s">
        <v>170</v>
      </c>
      <c r="E5" t="s">
        <v>171</v>
      </c>
      <c r="F5">
        <v>140</v>
      </c>
      <c r="G5">
        <f t="shared" ref="G5:G17" si="0">A5+B5</f>
        <v>3</v>
      </c>
      <c r="H5">
        <f t="shared" ref="H5:H17" si="1">F5*G5</f>
        <v>420</v>
      </c>
      <c r="J5" s="6">
        <f t="shared" ref="J5:J17" si="2">F5/$J$2</f>
        <v>1.1666666666666667</v>
      </c>
      <c r="K5" s="6">
        <f t="shared" ref="K5:K18" si="3">H5/$J$2</f>
        <v>3.5</v>
      </c>
    </row>
    <row r="6" spans="1:11" x14ac:dyDescent="0.2">
      <c r="A6">
        <v>1</v>
      </c>
      <c r="D6" t="s">
        <v>172</v>
      </c>
      <c r="E6" t="s">
        <v>173</v>
      </c>
      <c r="F6">
        <v>180</v>
      </c>
      <c r="G6">
        <f t="shared" si="0"/>
        <v>1</v>
      </c>
      <c r="H6">
        <f t="shared" si="1"/>
        <v>180</v>
      </c>
      <c r="J6" s="6">
        <f t="shared" si="2"/>
        <v>1.5</v>
      </c>
      <c r="K6" s="6">
        <f t="shared" si="3"/>
        <v>1.5</v>
      </c>
    </row>
    <row r="7" spans="1:11" x14ac:dyDescent="0.2">
      <c r="D7" t="s">
        <v>174</v>
      </c>
      <c r="E7" t="s">
        <v>173</v>
      </c>
      <c r="F7">
        <v>290</v>
      </c>
      <c r="G7">
        <f t="shared" si="0"/>
        <v>0</v>
      </c>
      <c r="H7">
        <f t="shared" si="1"/>
        <v>0</v>
      </c>
      <c r="J7" s="6">
        <f t="shared" si="2"/>
        <v>2.4166666666666665</v>
      </c>
      <c r="K7" s="6">
        <f t="shared" si="3"/>
        <v>0</v>
      </c>
    </row>
    <row r="8" spans="1:11" x14ac:dyDescent="0.2">
      <c r="D8" t="s">
        <v>175</v>
      </c>
      <c r="E8" t="s">
        <v>173</v>
      </c>
      <c r="F8">
        <v>315</v>
      </c>
      <c r="G8">
        <f t="shared" si="0"/>
        <v>0</v>
      </c>
      <c r="H8">
        <f t="shared" si="1"/>
        <v>0</v>
      </c>
      <c r="J8" s="6">
        <f t="shared" si="2"/>
        <v>2.625</v>
      </c>
      <c r="K8" s="6">
        <f t="shared" si="3"/>
        <v>0</v>
      </c>
    </row>
    <row r="9" spans="1:11" x14ac:dyDescent="0.2">
      <c r="D9" t="s">
        <v>176</v>
      </c>
      <c r="E9" t="s">
        <v>173</v>
      </c>
      <c r="F9">
        <v>315</v>
      </c>
      <c r="G9">
        <f t="shared" si="0"/>
        <v>0</v>
      </c>
      <c r="H9">
        <f t="shared" si="1"/>
        <v>0</v>
      </c>
      <c r="J9" s="6">
        <f t="shared" si="2"/>
        <v>2.625</v>
      </c>
      <c r="K9" s="6">
        <f t="shared" si="3"/>
        <v>0</v>
      </c>
    </row>
    <row r="10" spans="1:11" x14ac:dyDescent="0.2">
      <c r="D10" t="s">
        <v>177</v>
      </c>
      <c r="E10" t="s">
        <v>171</v>
      </c>
      <c r="F10">
        <v>435</v>
      </c>
      <c r="G10">
        <f t="shared" si="0"/>
        <v>0</v>
      </c>
      <c r="H10">
        <f t="shared" si="1"/>
        <v>0</v>
      </c>
      <c r="J10" s="6">
        <f t="shared" si="2"/>
        <v>3.625</v>
      </c>
      <c r="K10" s="6">
        <f t="shared" si="3"/>
        <v>0</v>
      </c>
    </row>
    <row r="11" spans="1:11" x14ac:dyDescent="0.2">
      <c r="D11" t="s">
        <v>177</v>
      </c>
      <c r="E11" t="s">
        <v>178</v>
      </c>
      <c r="F11">
        <v>125</v>
      </c>
      <c r="G11">
        <f t="shared" si="0"/>
        <v>0</v>
      </c>
      <c r="H11">
        <f t="shared" si="1"/>
        <v>0</v>
      </c>
      <c r="J11" s="6">
        <f t="shared" si="2"/>
        <v>1.0416666666666667</v>
      </c>
      <c r="K11" s="6">
        <f t="shared" si="3"/>
        <v>0</v>
      </c>
    </row>
    <row r="12" spans="1:11" x14ac:dyDescent="0.2">
      <c r="D12" t="s">
        <v>179</v>
      </c>
      <c r="E12" t="s">
        <v>171</v>
      </c>
      <c r="F12">
        <v>435</v>
      </c>
      <c r="G12">
        <f t="shared" si="0"/>
        <v>0</v>
      </c>
      <c r="H12">
        <f t="shared" si="1"/>
        <v>0</v>
      </c>
      <c r="J12" s="6">
        <f t="shared" si="2"/>
        <v>3.625</v>
      </c>
      <c r="K12" s="6">
        <f t="shared" si="3"/>
        <v>0</v>
      </c>
    </row>
    <row r="13" spans="1:11" x14ac:dyDescent="0.2">
      <c r="D13" t="s">
        <v>180</v>
      </c>
      <c r="E13" t="s">
        <v>178</v>
      </c>
      <c r="F13">
        <v>125</v>
      </c>
      <c r="G13">
        <f t="shared" si="0"/>
        <v>0</v>
      </c>
      <c r="H13">
        <f t="shared" si="1"/>
        <v>0</v>
      </c>
      <c r="J13" s="6">
        <f t="shared" si="2"/>
        <v>1.0416666666666667</v>
      </c>
      <c r="K13" s="6">
        <f t="shared" si="3"/>
        <v>0</v>
      </c>
    </row>
    <row r="14" spans="1:11" x14ac:dyDescent="0.2">
      <c r="D14" t="s">
        <v>181</v>
      </c>
      <c r="E14" t="s">
        <v>171</v>
      </c>
      <c r="F14">
        <v>435</v>
      </c>
      <c r="G14">
        <f t="shared" si="0"/>
        <v>0</v>
      </c>
      <c r="H14">
        <f t="shared" si="1"/>
        <v>0</v>
      </c>
      <c r="J14" s="6">
        <f t="shared" si="2"/>
        <v>3.625</v>
      </c>
      <c r="K14" s="6">
        <f t="shared" si="3"/>
        <v>0</v>
      </c>
    </row>
    <row r="15" spans="1:11" x14ac:dyDescent="0.2">
      <c r="D15" t="s">
        <v>182</v>
      </c>
      <c r="E15" t="s">
        <v>178</v>
      </c>
      <c r="F15">
        <v>125</v>
      </c>
      <c r="G15">
        <f t="shared" si="0"/>
        <v>0</v>
      </c>
      <c r="H15">
        <f t="shared" si="1"/>
        <v>0</v>
      </c>
      <c r="J15" s="6">
        <f t="shared" si="2"/>
        <v>1.0416666666666667</v>
      </c>
      <c r="K15" s="6">
        <f t="shared" si="3"/>
        <v>0</v>
      </c>
    </row>
    <row r="16" spans="1:11" x14ac:dyDescent="0.2">
      <c r="D16" t="s">
        <v>183</v>
      </c>
      <c r="E16" t="s">
        <v>171</v>
      </c>
      <c r="F16">
        <v>435</v>
      </c>
      <c r="G16">
        <f t="shared" si="0"/>
        <v>0</v>
      </c>
      <c r="H16">
        <f t="shared" si="1"/>
        <v>0</v>
      </c>
      <c r="J16" s="6">
        <f t="shared" si="2"/>
        <v>3.625</v>
      </c>
      <c r="K16" s="6">
        <f t="shared" si="3"/>
        <v>0</v>
      </c>
    </row>
    <row r="17" spans="1:11" x14ac:dyDescent="0.2">
      <c r="D17" t="s">
        <v>183</v>
      </c>
      <c r="E17" t="s">
        <v>178</v>
      </c>
      <c r="F17">
        <v>125</v>
      </c>
      <c r="G17">
        <f t="shared" si="0"/>
        <v>0</v>
      </c>
      <c r="H17">
        <f t="shared" si="1"/>
        <v>0</v>
      </c>
      <c r="J17" s="6">
        <f t="shared" si="2"/>
        <v>1.0416666666666667</v>
      </c>
      <c r="K17" s="6">
        <f t="shared" si="3"/>
        <v>0</v>
      </c>
    </row>
    <row r="18" spans="1:11" x14ac:dyDescent="0.2">
      <c r="H18">
        <f>SUM(H5:H17)</f>
        <v>600</v>
      </c>
      <c r="J18" s="6"/>
      <c r="K18" s="6">
        <f t="shared" si="3"/>
        <v>5</v>
      </c>
    </row>
    <row r="19" spans="1:11" x14ac:dyDescent="0.2">
      <c r="C19" t="s">
        <v>184</v>
      </c>
      <c r="J19" s="6"/>
      <c r="K19" s="6"/>
    </row>
    <row r="20" spans="1:11" x14ac:dyDescent="0.2">
      <c r="A20">
        <v>1</v>
      </c>
      <c r="D20" t="s">
        <v>185</v>
      </c>
      <c r="E20" t="s">
        <v>178</v>
      </c>
      <c r="F20">
        <v>230</v>
      </c>
      <c r="G20">
        <f t="shared" ref="G20:G26" si="4">A20+B20</f>
        <v>1</v>
      </c>
      <c r="H20">
        <f t="shared" ref="H20:H26" si="5">F20*G20</f>
        <v>230</v>
      </c>
      <c r="J20" s="6">
        <f t="shared" ref="J20:J26" si="6">F20/$J$2</f>
        <v>1.9166666666666667</v>
      </c>
      <c r="K20" s="6">
        <f t="shared" ref="K20:K27" si="7">H20/$J$2</f>
        <v>1.9166666666666667</v>
      </c>
    </row>
    <row r="21" spans="1:11" x14ac:dyDescent="0.2">
      <c r="D21" t="s">
        <v>186</v>
      </c>
      <c r="E21" t="s">
        <v>173</v>
      </c>
      <c r="F21">
        <v>3680</v>
      </c>
      <c r="G21">
        <f t="shared" si="4"/>
        <v>0</v>
      </c>
      <c r="H21">
        <f t="shared" si="5"/>
        <v>0</v>
      </c>
      <c r="J21" s="6">
        <f t="shared" si="6"/>
        <v>30.666666666666668</v>
      </c>
      <c r="K21" s="6">
        <f t="shared" si="7"/>
        <v>0</v>
      </c>
    </row>
    <row r="22" spans="1:11" x14ac:dyDescent="0.2">
      <c r="D22" t="s">
        <v>187</v>
      </c>
      <c r="E22" t="s">
        <v>173</v>
      </c>
      <c r="F22">
        <v>3680</v>
      </c>
      <c r="G22">
        <f t="shared" si="4"/>
        <v>0</v>
      </c>
      <c r="H22">
        <f t="shared" si="5"/>
        <v>0</v>
      </c>
      <c r="J22" s="6">
        <f t="shared" si="6"/>
        <v>30.666666666666668</v>
      </c>
      <c r="K22" s="6">
        <f t="shared" si="7"/>
        <v>0</v>
      </c>
    </row>
    <row r="23" spans="1:11" x14ac:dyDescent="0.2">
      <c r="D23" t="s">
        <v>188</v>
      </c>
      <c r="E23" t="s">
        <v>173</v>
      </c>
      <c r="F23">
        <v>3680</v>
      </c>
      <c r="G23">
        <f t="shared" si="4"/>
        <v>0</v>
      </c>
      <c r="H23">
        <f t="shared" si="5"/>
        <v>0</v>
      </c>
      <c r="J23" s="6">
        <f t="shared" si="6"/>
        <v>30.666666666666668</v>
      </c>
      <c r="K23" s="6">
        <f t="shared" si="7"/>
        <v>0</v>
      </c>
    </row>
    <row r="24" spans="1:11" x14ac:dyDescent="0.2">
      <c r="D24" t="s">
        <v>189</v>
      </c>
      <c r="E24" t="s">
        <v>190</v>
      </c>
      <c r="F24">
        <v>1090</v>
      </c>
      <c r="G24">
        <f t="shared" si="4"/>
        <v>0</v>
      </c>
      <c r="H24">
        <f t="shared" si="5"/>
        <v>0</v>
      </c>
      <c r="J24" s="6">
        <f t="shared" si="6"/>
        <v>9.0833333333333339</v>
      </c>
      <c r="K24" s="6">
        <f t="shared" si="7"/>
        <v>0</v>
      </c>
    </row>
    <row r="25" spans="1:11" x14ac:dyDescent="0.2">
      <c r="D25" t="s">
        <v>191</v>
      </c>
      <c r="E25" t="s">
        <v>190</v>
      </c>
      <c r="F25">
        <v>1090</v>
      </c>
      <c r="G25">
        <f t="shared" si="4"/>
        <v>0</v>
      </c>
      <c r="H25">
        <f t="shared" si="5"/>
        <v>0</v>
      </c>
      <c r="J25" s="6">
        <f t="shared" si="6"/>
        <v>9.0833333333333339</v>
      </c>
      <c r="K25" s="6">
        <f t="shared" si="7"/>
        <v>0</v>
      </c>
    </row>
    <row r="26" spans="1:11" x14ac:dyDescent="0.2">
      <c r="D26" t="s">
        <v>192</v>
      </c>
      <c r="E26" t="s">
        <v>190</v>
      </c>
      <c r="F26">
        <v>1090</v>
      </c>
      <c r="G26">
        <f t="shared" si="4"/>
        <v>0</v>
      </c>
      <c r="H26">
        <f t="shared" si="5"/>
        <v>0</v>
      </c>
      <c r="J26" s="6">
        <f t="shared" si="6"/>
        <v>9.0833333333333339</v>
      </c>
      <c r="K26" s="6">
        <f t="shared" si="7"/>
        <v>0</v>
      </c>
    </row>
    <row r="27" spans="1:11" x14ac:dyDescent="0.2">
      <c r="H27">
        <f>SUM(H20:H26)</f>
        <v>230</v>
      </c>
      <c r="J27" s="6"/>
      <c r="K27" s="6">
        <f t="shared" si="7"/>
        <v>1.9166666666666667</v>
      </c>
    </row>
    <row r="28" spans="1:11" x14ac:dyDescent="0.2">
      <c r="C28" t="s">
        <v>193</v>
      </c>
      <c r="J28" s="6"/>
      <c r="K28" s="6"/>
    </row>
    <row r="29" spans="1:11" x14ac:dyDescent="0.2">
      <c r="A29">
        <v>1</v>
      </c>
      <c r="D29" t="s">
        <v>194</v>
      </c>
      <c r="E29" t="s">
        <v>195</v>
      </c>
      <c r="F29">
        <v>215</v>
      </c>
      <c r="G29">
        <f t="shared" ref="G29:G36" si="8">A29+B29</f>
        <v>1</v>
      </c>
      <c r="H29">
        <f t="shared" ref="H29:H36" si="9">F29*G29</f>
        <v>215</v>
      </c>
      <c r="J29" s="6">
        <f t="shared" ref="J29:J36" si="10">F29/$J$2</f>
        <v>1.7916666666666667</v>
      </c>
      <c r="K29" s="6">
        <f t="shared" ref="K29:K37" si="11">H29/$J$2</f>
        <v>1.7916666666666667</v>
      </c>
    </row>
    <row r="30" spans="1:11" x14ac:dyDescent="0.2">
      <c r="D30" t="s">
        <v>196</v>
      </c>
      <c r="E30" t="s">
        <v>197</v>
      </c>
      <c r="F30">
        <v>295</v>
      </c>
      <c r="G30">
        <f t="shared" si="8"/>
        <v>0</v>
      </c>
      <c r="H30">
        <f t="shared" si="9"/>
        <v>0</v>
      </c>
      <c r="J30" s="6">
        <f t="shared" si="10"/>
        <v>2.4583333333333335</v>
      </c>
      <c r="K30" s="6">
        <f t="shared" si="11"/>
        <v>0</v>
      </c>
    </row>
    <row r="31" spans="1:11" x14ac:dyDescent="0.2">
      <c r="D31" t="s">
        <v>198</v>
      </c>
      <c r="E31" t="s">
        <v>197</v>
      </c>
      <c r="F31">
        <v>140</v>
      </c>
      <c r="G31">
        <f t="shared" si="8"/>
        <v>0</v>
      </c>
      <c r="H31">
        <f t="shared" si="9"/>
        <v>0</v>
      </c>
      <c r="J31" s="6">
        <f t="shared" si="10"/>
        <v>1.1666666666666667</v>
      </c>
      <c r="K31" s="6">
        <f t="shared" si="11"/>
        <v>0</v>
      </c>
    </row>
    <row r="32" spans="1:11" x14ac:dyDescent="0.2">
      <c r="D32" t="s">
        <v>199</v>
      </c>
      <c r="E32" t="s">
        <v>200</v>
      </c>
      <c r="F32">
        <v>150</v>
      </c>
      <c r="G32">
        <f t="shared" si="8"/>
        <v>0</v>
      </c>
      <c r="H32">
        <f t="shared" si="9"/>
        <v>0</v>
      </c>
      <c r="J32" s="6">
        <f t="shared" si="10"/>
        <v>1.25</v>
      </c>
      <c r="K32" s="6">
        <f t="shared" si="11"/>
        <v>0</v>
      </c>
    </row>
    <row r="33" spans="1:11" x14ac:dyDescent="0.2">
      <c r="D33" t="s">
        <v>201</v>
      </c>
      <c r="E33" t="s">
        <v>202</v>
      </c>
      <c r="F33">
        <v>310</v>
      </c>
      <c r="G33">
        <f t="shared" si="8"/>
        <v>0</v>
      </c>
      <c r="H33">
        <f t="shared" si="9"/>
        <v>0</v>
      </c>
      <c r="J33" s="6">
        <f t="shared" si="10"/>
        <v>2.5833333333333335</v>
      </c>
      <c r="K33" s="6">
        <f t="shared" si="11"/>
        <v>0</v>
      </c>
    </row>
    <row r="34" spans="1:11" x14ac:dyDescent="0.2">
      <c r="D34" t="s">
        <v>203</v>
      </c>
      <c r="E34" t="s">
        <v>204</v>
      </c>
      <c r="F34">
        <v>480</v>
      </c>
      <c r="G34">
        <f t="shared" si="8"/>
        <v>0</v>
      </c>
      <c r="H34">
        <f t="shared" si="9"/>
        <v>0</v>
      </c>
      <c r="J34" s="6">
        <f t="shared" si="10"/>
        <v>4</v>
      </c>
      <c r="K34" s="6">
        <f t="shared" si="11"/>
        <v>0</v>
      </c>
    </row>
    <row r="35" spans="1:11" x14ac:dyDescent="0.2">
      <c r="D35" t="s">
        <v>205</v>
      </c>
      <c r="E35" t="s">
        <v>202</v>
      </c>
      <c r="F35">
        <v>360</v>
      </c>
      <c r="G35">
        <f t="shared" si="8"/>
        <v>0</v>
      </c>
      <c r="H35">
        <f t="shared" si="9"/>
        <v>0</v>
      </c>
      <c r="J35" s="6">
        <f t="shared" si="10"/>
        <v>3</v>
      </c>
      <c r="K35" s="6">
        <f t="shared" si="11"/>
        <v>0</v>
      </c>
    </row>
    <row r="36" spans="1:11" x14ac:dyDescent="0.2">
      <c r="D36" t="s">
        <v>206</v>
      </c>
      <c r="E36" t="s">
        <v>207</v>
      </c>
      <c r="F36">
        <v>310</v>
      </c>
      <c r="G36">
        <f t="shared" si="8"/>
        <v>0</v>
      </c>
      <c r="H36">
        <f t="shared" si="9"/>
        <v>0</v>
      </c>
      <c r="J36" s="6">
        <f t="shared" si="10"/>
        <v>2.5833333333333335</v>
      </c>
      <c r="K36" s="6">
        <f t="shared" si="11"/>
        <v>0</v>
      </c>
    </row>
    <row r="37" spans="1:11" x14ac:dyDescent="0.2">
      <c r="H37">
        <f>SUM(H29:H36)</f>
        <v>215</v>
      </c>
      <c r="J37" s="6"/>
      <c r="K37" s="6">
        <f t="shared" si="11"/>
        <v>1.7916666666666667</v>
      </c>
    </row>
    <row r="38" spans="1:11" x14ac:dyDescent="0.2">
      <c r="C38" t="s">
        <v>208</v>
      </c>
      <c r="J38" s="6"/>
      <c r="K38" s="6"/>
    </row>
    <row r="39" spans="1:11" x14ac:dyDescent="0.2">
      <c r="D39" t="s">
        <v>209</v>
      </c>
      <c r="E39" t="s">
        <v>210</v>
      </c>
      <c r="F39">
        <v>115</v>
      </c>
      <c r="G39">
        <f t="shared" ref="G39:G48" si="12">A39+B39</f>
        <v>0</v>
      </c>
      <c r="H39">
        <f t="shared" ref="H39:H48" si="13">F39*G39</f>
        <v>0</v>
      </c>
      <c r="J39" s="6">
        <f t="shared" ref="J39:J48" si="14">F39/$J$2</f>
        <v>0.95833333333333337</v>
      </c>
      <c r="K39" s="6">
        <f t="shared" ref="K39:K49" si="15">H39/$J$2</f>
        <v>0</v>
      </c>
    </row>
    <row r="40" spans="1:11" x14ac:dyDescent="0.2">
      <c r="A40">
        <v>1</v>
      </c>
      <c r="D40" t="s">
        <v>211</v>
      </c>
      <c r="E40" t="s">
        <v>212</v>
      </c>
      <c r="F40">
        <v>320</v>
      </c>
      <c r="G40">
        <f t="shared" si="12"/>
        <v>1</v>
      </c>
      <c r="H40">
        <f t="shared" si="13"/>
        <v>320</v>
      </c>
      <c r="J40" s="6">
        <f t="shared" si="14"/>
        <v>2.6666666666666665</v>
      </c>
      <c r="K40" s="6">
        <f t="shared" si="15"/>
        <v>2.6666666666666665</v>
      </c>
    </row>
    <row r="41" spans="1:11" x14ac:dyDescent="0.2">
      <c r="D41" t="s">
        <v>213</v>
      </c>
      <c r="E41" t="s">
        <v>202</v>
      </c>
      <c r="F41">
        <v>655</v>
      </c>
      <c r="G41">
        <f t="shared" si="12"/>
        <v>0</v>
      </c>
      <c r="H41">
        <f t="shared" si="13"/>
        <v>0</v>
      </c>
      <c r="J41" s="6">
        <f t="shared" si="14"/>
        <v>5.458333333333333</v>
      </c>
      <c r="K41" s="6">
        <f t="shared" si="15"/>
        <v>0</v>
      </c>
    </row>
    <row r="42" spans="1:11" x14ac:dyDescent="0.2">
      <c r="D42" t="s">
        <v>214</v>
      </c>
      <c r="E42" t="s">
        <v>215</v>
      </c>
      <c r="F42">
        <v>235</v>
      </c>
      <c r="G42">
        <f t="shared" si="12"/>
        <v>0</v>
      </c>
      <c r="H42">
        <f t="shared" si="13"/>
        <v>0</v>
      </c>
      <c r="J42" s="6">
        <f t="shared" si="14"/>
        <v>1.9583333333333333</v>
      </c>
      <c r="K42" s="6">
        <f t="shared" si="15"/>
        <v>0</v>
      </c>
    </row>
    <row r="43" spans="1:11" x14ac:dyDescent="0.2">
      <c r="D43" t="s">
        <v>216</v>
      </c>
      <c r="E43" t="s">
        <v>217</v>
      </c>
      <c r="F43">
        <v>315</v>
      </c>
      <c r="G43">
        <f t="shared" si="12"/>
        <v>0</v>
      </c>
      <c r="H43">
        <f t="shared" si="13"/>
        <v>0</v>
      </c>
      <c r="J43" s="6">
        <f t="shared" si="14"/>
        <v>2.625</v>
      </c>
      <c r="K43" s="6">
        <f t="shared" si="15"/>
        <v>0</v>
      </c>
    </row>
    <row r="44" spans="1:11" x14ac:dyDescent="0.2">
      <c r="D44" t="s">
        <v>218</v>
      </c>
      <c r="E44" t="s">
        <v>173</v>
      </c>
      <c r="F44">
        <v>225</v>
      </c>
      <c r="G44">
        <f t="shared" si="12"/>
        <v>0</v>
      </c>
      <c r="H44">
        <f t="shared" si="13"/>
        <v>0</v>
      </c>
      <c r="J44" s="6">
        <f t="shared" si="14"/>
        <v>1.875</v>
      </c>
      <c r="K44" s="6">
        <f t="shared" si="15"/>
        <v>0</v>
      </c>
    </row>
    <row r="45" spans="1:11" x14ac:dyDescent="0.2">
      <c r="D45" t="s">
        <v>219</v>
      </c>
      <c r="E45" t="s">
        <v>220</v>
      </c>
      <c r="F45">
        <v>850</v>
      </c>
      <c r="G45">
        <f t="shared" si="12"/>
        <v>0</v>
      </c>
      <c r="H45">
        <f t="shared" si="13"/>
        <v>0</v>
      </c>
      <c r="J45" s="6">
        <f t="shared" si="14"/>
        <v>7.083333333333333</v>
      </c>
      <c r="K45" s="6">
        <f t="shared" si="15"/>
        <v>0</v>
      </c>
    </row>
    <row r="46" spans="1:11" x14ac:dyDescent="0.2">
      <c r="D46" t="s">
        <v>221</v>
      </c>
      <c r="E46" t="s">
        <v>222</v>
      </c>
      <c r="F46">
        <v>240</v>
      </c>
      <c r="G46">
        <f t="shared" si="12"/>
        <v>0</v>
      </c>
      <c r="H46">
        <f t="shared" si="13"/>
        <v>0</v>
      </c>
      <c r="J46" s="6">
        <f t="shared" si="14"/>
        <v>2</v>
      </c>
      <c r="K46" s="6">
        <f t="shared" si="15"/>
        <v>0</v>
      </c>
    </row>
    <row r="47" spans="1:11" x14ac:dyDescent="0.2">
      <c r="D47" t="s">
        <v>223</v>
      </c>
      <c r="E47" t="s">
        <v>210</v>
      </c>
      <c r="F47">
        <v>400</v>
      </c>
      <c r="G47">
        <f t="shared" si="12"/>
        <v>0</v>
      </c>
      <c r="H47">
        <f t="shared" si="13"/>
        <v>0</v>
      </c>
      <c r="J47" s="6">
        <f t="shared" si="14"/>
        <v>3.3333333333333335</v>
      </c>
      <c r="K47" s="6">
        <f t="shared" si="15"/>
        <v>0</v>
      </c>
    </row>
    <row r="48" spans="1:11" x14ac:dyDescent="0.2">
      <c r="D48" t="s">
        <v>224</v>
      </c>
      <c r="E48" t="s">
        <v>225</v>
      </c>
      <c r="F48">
        <v>320</v>
      </c>
      <c r="G48">
        <f t="shared" si="12"/>
        <v>0</v>
      </c>
      <c r="H48">
        <f t="shared" si="13"/>
        <v>0</v>
      </c>
      <c r="J48" s="6">
        <f t="shared" si="14"/>
        <v>2.6666666666666665</v>
      </c>
      <c r="K48" s="6">
        <f t="shared" si="15"/>
        <v>0</v>
      </c>
    </row>
    <row r="49" spans="1:11" x14ac:dyDescent="0.2">
      <c r="H49">
        <f>SUM(H39:H48)</f>
        <v>320</v>
      </c>
      <c r="J49" s="6"/>
      <c r="K49" s="6">
        <f t="shared" si="15"/>
        <v>2.6666666666666665</v>
      </c>
    </row>
    <row r="50" spans="1:11" x14ac:dyDescent="0.2">
      <c r="C50" t="s">
        <v>226</v>
      </c>
      <c r="J50" s="6"/>
      <c r="K50" s="6"/>
    </row>
    <row r="51" spans="1:11" x14ac:dyDescent="0.2">
      <c r="A51">
        <v>1</v>
      </c>
      <c r="D51" t="s">
        <v>227</v>
      </c>
      <c r="E51" t="s">
        <v>228</v>
      </c>
      <c r="F51">
        <v>600</v>
      </c>
      <c r="G51">
        <f t="shared" ref="G51:G69" si="16">A51+B51</f>
        <v>1</v>
      </c>
      <c r="H51">
        <f t="shared" ref="H51:H69" si="17">F51*G51</f>
        <v>600</v>
      </c>
      <c r="J51" s="6">
        <f t="shared" ref="J51:J69" si="18">F51/$J$2</f>
        <v>5</v>
      </c>
      <c r="K51" s="6">
        <f t="shared" ref="K51:K70" si="19">H51/$J$2</f>
        <v>5</v>
      </c>
    </row>
    <row r="52" spans="1:11" x14ac:dyDescent="0.2">
      <c r="D52" t="s">
        <v>229</v>
      </c>
      <c r="E52" t="s">
        <v>230</v>
      </c>
      <c r="F52">
        <v>715</v>
      </c>
      <c r="G52">
        <f t="shared" si="16"/>
        <v>0</v>
      </c>
      <c r="H52">
        <f t="shared" si="17"/>
        <v>0</v>
      </c>
      <c r="J52" s="6">
        <f t="shared" si="18"/>
        <v>5.958333333333333</v>
      </c>
      <c r="K52" s="6">
        <f t="shared" si="19"/>
        <v>0</v>
      </c>
    </row>
    <row r="53" spans="1:11" x14ac:dyDescent="0.2">
      <c r="D53" t="s">
        <v>231</v>
      </c>
      <c r="E53" t="s">
        <v>232</v>
      </c>
      <c r="F53">
        <v>825</v>
      </c>
      <c r="G53">
        <f t="shared" si="16"/>
        <v>0</v>
      </c>
      <c r="H53">
        <f t="shared" si="17"/>
        <v>0</v>
      </c>
      <c r="J53" s="6">
        <f t="shared" si="18"/>
        <v>6.875</v>
      </c>
      <c r="K53" s="6">
        <f t="shared" si="19"/>
        <v>0</v>
      </c>
    </row>
    <row r="54" spans="1:11" x14ac:dyDescent="0.2">
      <c r="D54" t="s">
        <v>233</v>
      </c>
      <c r="E54" t="s">
        <v>234</v>
      </c>
      <c r="F54">
        <v>390</v>
      </c>
      <c r="G54">
        <f t="shared" si="16"/>
        <v>0</v>
      </c>
      <c r="H54">
        <f t="shared" si="17"/>
        <v>0</v>
      </c>
      <c r="J54" s="6">
        <f t="shared" si="18"/>
        <v>3.25</v>
      </c>
      <c r="K54" s="6">
        <f t="shared" si="19"/>
        <v>0</v>
      </c>
    </row>
    <row r="55" spans="1:11" x14ac:dyDescent="0.2">
      <c r="D55" t="s">
        <v>235</v>
      </c>
      <c r="E55" t="s">
        <v>234</v>
      </c>
      <c r="F55">
        <v>390</v>
      </c>
      <c r="G55">
        <f t="shared" si="16"/>
        <v>0</v>
      </c>
      <c r="H55">
        <f t="shared" si="17"/>
        <v>0</v>
      </c>
      <c r="J55" s="6">
        <f t="shared" si="18"/>
        <v>3.25</v>
      </c>
      <c r="K55" s="6">
        <f t="shared" si="19"/>
        <v>0</v>
      </c>
    </row>
    <row r="56" spans="1:11" x14ac:dyDescent="0.2">
      <c r="D56" t="s">
        <v>236</v>
      </c>
      <c r="E56" t="s">
        <v>237</v>
      </c>
      <c r="F56">
        <v>670</v>
      </c>
      <c r="G56">
        <f t="shared" si="16"/>
        <v>0</v>
      </c>
      <c r="H56">
        <f t="shared" si="17"/>
        <v>0</v>
      </c>
      <c r="J56" s="6">
        <f t="shared" si="18"/>
        <v>5.583333333333333</v>
      </c>
      <c r="K56" s="6">
        <f t="shared" si="19"/>
        <v>0</v>
      </c>
    </row>
    <row r="57" spans="1:11" x14ac:dyDescent="0.2">
      <c r="D57" t="s">
        <v>238</v>
      </c>
      <c r="E57" t="s">
        <v>239</v>
      </c>
      <c r="F57">
        <v>390</v>
      </c>
      <c r="G57">
        <f t="shared" si="16"/>
        <v>0</v>
      </c>
      <c r="H57">
        <f t="shared" si="17"/>
        <v>0</v>
      </c>
      <c r="J57" s="6">
        <f t="shared" si="18"/>
        <v>3.25</v>
      </c>
      <c r="K57" s="6">
        <f t="shared" si="19"/>
        <v>0</v>
      </c>
    </row>
    <row r="58" spans="1:11" x14ac:dyDescent="0.2">
      <c r="D58" t="s">
        <v>240</v>
      </c>
      <c r="E58" t="s">
        <v>239</v>
      </c>
      <c r="F58">
        <v>390</v>
      </c>
      <c r="G58">
        <f t="shared" si="16"/>
        <v>0</v>
      </c>
      <c r="H58">
        <f t="shared" si="17"/>
        <v>0</v>
      </c>
      <c r="J58" s="6">
        <f t="shared" si="18"/>
        <v>3.25</v>
      </c>
      <c r="K58" s="6">
        <f t="shared" si="19"/>
        <v>0</v>
      </c>
    </row>
    <row r="59" spans="1:11" x14ac:dyDescent="0.2">
      <c r="D59" t="s">
        <v>241</v>
      </c>
      <c r="E59" t="s">
        <v>242</v>
      </c>
      <c r="F59">
        <v>80</v>
      </c>
      <c r="G59">
        <f t="shared" si="16"/>
        <v>0</v>
      </c>
      <c r="H59">
        <f t="shared" si="17"/>
        <v>0</v>
      </c>
      <c r="J59" s="6">
        <f t="shared" si="18"/>
        <v>0.66666666666666663</v>
      </c>
      <c r="K59" s="6">
        <f t="shared" si="19"/>
        <v>0</v>
      </c>
    </row>
    <row r="60" spans="1:11" x14ac:dyDescent="0.2">
      <c r="D60" t="s">
        <v>243</v>
      </c>
      <c r="E60" t="s">
        <v>239</v>
      </c>
      <c r="F60">
        <v>955</v>
      </c>
      <c r="G60">
        <f t="shared" si="16"/>
        <v>0</v>
      </c>
      <c r="H60">
        <f t="shared" si="17"/>
        <v>0</v>
      </c>
      <c r="J60" s="6">
        <f t="shared" si="18"/>
        <v>7.958333333333333</v>
      </c>
      <c r="K60" s="6">
        <f t="shared" si="19"/>
        <v>0</v>
      </c>
    </row>
    <row r="61" spans="1:11" x14ac:dyDescent="0.2">
      <c r="D61" t="s">
        <v>244</v>
      </c>
      <c r="E61" t="s">
        <v>245</v>
      </c>
      <c r="F61">
        <v>195</v>
      </c>
      <c r="G61">
        <f t="shared" si="16"/>
        <v>0</v>
      </c>
      <c r="H61">
        <f t="shared" si="17"/>
        <v>0</v>
      </c>
      <c r="J61" s="6">
        <f t="shared" si="18"/>
        <v>1.625</v>
      </c>
      <c r="K61" s="6">
        <f t="shared" si="19"/>
        <v>0</v>
      </c>
    </row>
    <row r="62" spans="1:11" x14ac:dyDescent="0.2">
      <c r="D62" t="s">
        <v>246</v>
      </c>
      <c r="E62" t="s">
        <v>247</v>
      </c>
      <c r="F62">
        <v>565</v>
      </c>
      <c r="G62">
        <f t="shared" si="16"/>
        <v>0</v>
      </c>
      <c r="H62">
        <f t="shared" si="17"/>
        <v>0</v>
      </c>
      <c r="J62" s="6">
        <f t="shared" si="18"/>
        <v>4.708333333333333</v>
      </c>
      <c r="K62" s="6">
        <f t="shared" si="19"/>
        <v>0</v>
      </c>
    </row>
    <row r="63" spans="1:11" x14ac:dyDescent="0.2">
      <c r="D63" t="s">
        <v>248</v>
      </c>
      <c r="E63" t="s">
        <v>249</v>
      </c>
      <c r="F63">
        <v>140</v>
      </c>
      <c r="G63">
        <f t="shared" si="16"/>
        <v>0</v>
      </c>
      <c r="H63">
        <f t="shared" si="17"/>
        <v>0</v>
      </c>
      <c r="J63" s="6">
        <f t="shared" si="18"/>
        <v>1.1666666666666667</v>
      </c>
      <c r="K63" s="6">
        <f t="shared" si="19"/>
        <v>0</v>
      </c>
    </row>
    <row r="64" spans="1:11" x14ac:dyDescent="0.2">
      <c r="D64" t="s">
        <v>250</v>
      </c>
      <c r="E64" t="s">
        <v>251</v>
      </c>
      <c r="F64">
        <v>440</v>
      </c>
      <c r="G64">
        <f t="shared" si="16"/>
        <v>0</v>
      </c>
      <c r="H64">
        <f t="shared" si="17"/>
        <v>0</v>
      </c>
      <c r="J64" s="6">
        <f t="shared" si="18"/>
        <v>3.6666666666666665</v>
      </c>
      <c r="K64" s="6">
        <f t="shared" si="19"/>
        <v>0</v>
      </c>
    </row>
    <row r="65" spans="1:11" x14ac:dyDescent="0.2">
      <c r="D65" t="s">
        <v>252</v>
      </c>
      <c r="E65" t="s">
        <v>253</v>
      </c>
      <c r="F65">
        <v>50</v>
      </c>
      <c r="G65">
        <f t="shared" si="16"/>
        <v>0</v>
      </c>
      <c r="H65">
        <f t="shared" si="17"/>
        <v>0</v>
      </c>
      <c r="J65" s="6">
        <f t="shared" si="18"/>
        <v>0.41666666666666669</v>
      </c>
      <c r="K65" s="6">
        <f t="shared" si="19"/>
        <v>0</v>
      </c>
    </row>
    <row r="66" spans="1:11" x14ac:dyDescent="0.2">
      <c r="D66" t="s">
        <v>254</v>
      </c>
      <c r="E66" t="s">
        <v>255</v>
      </c>
      <c r="F66">
        <v>300</v>
      </c>
      <c r="G66">
        <f t="shared" si="16"/>
        <v>0</v>
      </c>
      <c r="H66">
        <f t="shared" si="17"/>
        <v>0</v>
      </c>
      <c r="J66" s="6">
        <f t="shared" si="18"/>
        <v>2.5</v>
      </c>
      <c r="K66" s="6">
        <f t="shared" si="19"/>
        <v>0</v>
      </c>
    </row>
    <row r="67" spans="1:11" x14ac:dyDescent="0.2">
      <c r="D67" t="s">
        <v>256</v>
      </c>
      <c r="E67" t="s">
        <v>239</v>
      </c>
      <c r="F67">
        <v>120</v>
      </c>
      <c r="G67">
        <f t="shared" si="16"/>
        <v>0</v>
      </c>
      <c r="H67">
        <f t="shared" si="17"/>
        <v>0</v>
      </c>
      <c r="J67" s="6">
        <f t="shared" si="18"/>
        <v>1</v>
      </c>
      <c r="K67" s="6">
        <f t="shared" si="19"/>
        <v>0</v>
      </c>
    </row>
    <row r="68" spans="1:11" x14ac:dyDescent="0.2">
      <c r="D68" t="s">
        <v>257</v>
      </c>
      <c r="E68" t="s">
        <v>242</v>
      </c>
      <c r="F68">
        <v>310</v>
      </c>
      <c r="G68">
        <f t="shared" si="16"/>
        <v>0</v>
      </c>
      <c r="H68">
        <f t="shared" si="17"/>
        <v>0</v>
      </c>
      <c r="J68" s="6">
        <f t="shared" si="18"/>
        <v>2.5833333333333335</v>
      </c>
      <c r="K68" s="6">
        <f t="shared" si="19"/>
        <v>0</v>
      </c>
    </row>
    <row r="69" spans="1:11" x14ac:dyDescent="0.2">
      <c r="D69" t="s">
        <v>258</v>
      </c>
      <c r="E69" t="s">
        <v>242</v>
      </c>
      <c r="F69">
        <v>425</v>
      </c>
      <c r="G69">
        <f t="shared" si="16"/>
        <v>0</v>
      </c>
      <c r="H69">
        <f t="shared" si="17"/>
        <v>0</v>
      </c>
      <c r="J69" s="6">
        <f t="shared" si="18"/>
        <v>3.5416666666666665</v>
      </c>
      <c r="K69" s="6">
        <f t="shared" si="19"/>
        <v>0</v>
      </c>
    </row>
    <row r="70" spans="1:11" x14ac:dyDescent="0.2">
      <c r="H70">
        <f>SUM(H51:H69)</f>
        <v>600</v>
      </c>
      <c r="J70" s="6"/>
      <c r="K70" s="6">
        <f t="shared" si="19"/>
        <v>5</v>
      </c>
    </row>
    <row r="71" spans="1:11" x14ac:dyDescent="0.2">
      <c r="C71" t="s">
        <v>259</v>
      </c>
      <c r="J71" s="6"/>
      <c r="K71" s="6"/>
    </row>
    <row r="72" spans="1:11" x14ac:dyDescent="0.2">
      <c r="A72">
        <v>1</v>
      </c>
      <c r="D72" t="s">
        <v>260</v>
      </c>
      <c r="E72" t="s">
        <v>261</v>
      </c>
      <c r="F72">
        <v>165</v>
      </c>
      <c r="G72">
        <f t="shared" ref="G72:G81" si="20">A72+B72</f>
        <v>1</v>
      </c>
      <c r="H72">
        <f t="shared" ref="H72:H81" si="21">F72*G72</f>
        <v>165</v>
      </c>
      <c r="J72" s="6">
        <f t="shared" ref="J72:J81" si="22">F72/$J$2</f>
        <v>1.375</v>
      </c>
      <c r="K72" s="6">
        <f t="shared" ref="K72:K82" si="23">H72/$J$2</f>
        <v>1.375</v>
      </c>
    </row>
    <row r="73" spans="1:11" x14ac:dyDescent="0.2">
      <c r="D73" t="s">
        <v>262</v>
      </c>
      <c r="E73" t="s">
        <v>261</v>
      </c>
      <c r="F73">
        <v>165</v>
      </c>
      <c r="G73">
        <f t="shared" si="20"/>
        <v>0</v>
      </c>
      <c r="H73">
        <f t="shared" si="21"/>
        <v>0</v>
      </c>
      <c r="J73" s="6">
        <f t="shared" si="22"/>
        <v>1.375</v>
      </c>
      <c r="K73" s="6">
        <f t="shared" si="23"/>
        <v>0</v>
      </c>
    </row>
    <row r="74" spans="1:11" x14ac:dyDescent="0.2">
      <c r="D74" t="s">
        <v>263</v>
      </c>
      <c r="E74" t="s">
        <v>264</v>
      </c>
      <c r="F74">
        <v>500</v>
      </c>
      <c r="G74">
        <f t="shared" si="20"/>
        <v>0</v>
      </c>
      <c r="H74">
        <f t="shared" si="21"/>
        <v>0</v>
      </c>
      <c r="J74" s="6">
        <f t="shared" si="22"/>
        <v>4.166666666666667</v>
      </c>
      <c r="K74" s="6">
        <f t="shared" si="23"/>
        <v>0</v>
      </c>
    </row>
    <row r="75" spans="1:11" x14ac:dyDescent="0.2">
      <c r="D75" t="s">
        <v>265</v>
      </c>
      <c r="E75" t="s">
        <v>266</v>
      </c>
      <c r="F75">
        <v>435</v>
      </c>
      <c r="G75">
        <f t="shared" si="20"/>
        <v>0</v>
      </c>
      <c r="H75">
        <f t="shared" si="21"/>
        <v>0</v>
      </c>
      <c r="J75" s="6">
        <f t="shared" si="22"/>
        <v>3.625</v>
      </c>
      <c r="K75" s="6">
        <f t="shared" si="23"/>
        <v>0</v>
      </c>
    </row>
    <row r="76" spans="1:11" x14ac:dyDescent="0.2">
      <c r="D76" t="s">
        <v>267</v>
      </c>
      <c r="E76" t="s">
        <v>247</v>
      </c>
      <c r="F76">
        <v>485</v>
      </c>
      <c r="G76">
        <f t="shared" si="20"/>
        <v>0</v>
      </c>
      <c r="H76">
        <f t="shared" si="21"/>
        <v>0</v>
      </c>
      <c r="J76" s="6">
        <f t="shared" si="22"/>
        <v>4.041666666666667</v>
      </c>
      <c r="K76" s="6">
        <f t="shared" si="23"/>
        <v>0</v>
      </c>
    </row>
    <row r="77" spans="1:11" x14ac:dyDescent="0.2">
      <c r="D77" t="s">
        <v>268</v>
      </c>
      <c r="E77" t="s">
        <v>253</v>
      </c>
      <c r="F77">
        <v>530</v>
      </c>
      <c r="G77">
        <f t="shared" si="20"/>
        <v>0</v>
      </c>
      <c r="H77">
        <f t="shared" si="21"/>
        <v>0</v>
      </c>
      <c r="J77" s="6">
        <f t="shared" si="22"/>
        <v>4.416666666666667</v>
      </c>
      <c r="K77" s="6">
        <f t="shared" si="23"/>
        <v>0</v>
      </c>
    </row>
    <row r="78" spans="1:11" x14ac:dyDescent="0.2">
      <c r="D78" t="s">
        <v>269</v>
      </c>
      <c r="E78" t="s">
        <v>247</v>
      </c>
      <c r="F78">
        <v>340</v>
      </c>
      <c r="G78">
        <f t="shared" si="20"/>
        <v>0</v>
      </c>
      <c r="H78">
        <f t="shared" si="21"/>
        <v>0</v>
      </c>
      <c r="J78" s="6">
        <f t="shared" si="22"/>
        <v>2.8333333333333335</v>
      </c>
      <c r="K78" s="6">
        <f t="shared" si="23"/>
        <v>0</v>
      </c>
    </row>
    <row r="79" spans="1:11" x14ac:dyDescent="0.2">
      <c r="D79" t="s">
        <v>270</v>
      </c>
      <c r="E79" t="s">
        <v>271</v>
      </c>
      <c r="F79">
        <v>205</v>
      </c>
      <c r="G79">
        <f t="shared" si="20"/>
        <v>0</v>
      </c>
      <c r="H79">
        <f t="shared" si="21"/>
        <v>0</v>
      </c>
      <c r="J79" s="6">
        <f t="shared" si="22"/>
        <v>1.7083333333333333</v>
      </c>
      <c r="K79" s="6">
        <f t="shared" si="23"/>
        <v>0</v>
      </c>
    </row>
    <row r="80" spans="1:11" x14ac:dyDescent="0.2">
      <c r="D80" t="s">
        <v>272</v>
      </c>
      <c r="E80" t="s">
        <v>273</v>
      </c>
      <c r="F80">
        <v>195</v>
      </c>
      <c r="G80">
        <f t="shared" si="20"/>
        <v>0</v>
      </c>
      <c r="H80">
        <f t="shared" si="21"/>
        <v>0</v>
      </c>
      <c r="J80" s="6">
        <f t="shared" si="22"/>
        <v>1.625</v>
      </c>
      <c r="K80" s="6">
        <f t="shared" si="23"/>
        <v>0</v>
      </c>
    </row>
    <row r="81" spans="1:11" x14ac:dyDescent="0.2">
      <c r="D81" t="s">
        <v>274</v>
      </c>
      <c r="E81" t="s">
        <v>275</v>
      </c>
      <c r="F81">
        <v>255</v>
      </c>
      <c r="G81">
        <f t="shared" si="20"/>
        <v>0</v>
      </c>
      <c r="H81">
        <f t="shared" si="21"/>
        <v>0</v>
      </c>
      <c r="J81" s="6">
        <f t="shared" si="22"/>
        <v>2.125</v>
      </c>
      <c r="K81" s="6">
        <f t="shared" si="23"/>
        <v>0</v>
      </c>
    </row>
    <row r="82" spans="1:11" x14ac:dyDescent="0.2">
      <c r="H82">
        <f>SUM(H72:H81)</f>
        <v>165</v>
      </c>
      <c r="J82" s="6"/>
      <c r="K82" s="6">
        <f t="shared" si="23"/>
        <v>1.375</v>
      </c>
    </row>
    <row r="83" spans="1:11" x14ac:dyDescent="0.2">
      <c r="C83" t="s">
        <v>276</v>
      </c>
      <c r="J83" s="6"/>
      <c r="K83" s="6"/>
    </row>
    <row r="84" spans="1:11" x14ac:dyDescent="0.2">
      <c r="A84">
        <v>1</v>
      </c>
      <c r="D84" t="s">
        <v>277</v>
      </c>
      <c r="E84" t="s">
        <v>237</v>
      </c>
      <c r="F84">
        <v>370</v>
      </c>
      <c r="G84">
        <f t="shared" ref="G84:G95" si="24">A84+B84</f>
        <v>1</v>
      </c>
      <c r="H84">
        <f t="shared" ref="H84:H95" si="25">F84*G84</f>
        <v>370</v>
      </c>
      <c r="J84" s="6">
        <f t="shared" ref="J84:J95" si="26">F84/$J$2</f>
        <v>3.0833333333333335</v>
      </c>
      <c r="K84" s="6">
        <f t="shared" ref="K84:K96" si="27">H84/$J$2</f>
        <v>3.0833333333333335</v>
      </c>
    </row>
    <row r="85" spans="1:11" x14ac:dyDescent="0.2">
      <c r="D85" t="s">
        <v>278</v>
      </c>
      <c r="E85" t="s">
        <v>264</v>
      </c>
      <c r="F85">
        <v>465</v>
      </c>
      <c r="G85">
        <f t="shared" si="24"/>
        <v>0</v>
      </c>
      <c r="H85">
        <f t="shared" si="25"/>
        <v>0</v>
      </c>
      <c r="J85" s="6">
        <f t="shared" si="26"/>
        <v>3.875</v>
      </c>
      <c r="K85" s="6">
        <f t="shared" si="27"/>
        <v>0</v>
      </c>
    </row>
    <row r="86" spans="1:11" x14ac:dyDescent="0.2">
      <c r="D86" t="s">
        <v>279</v>
      </c>
      <c r="E86" t="s">
        <v>237</v>
      </c>
      <c r="F86">
        <v>143</v>
      </c>
      <c r="G86">
        <f t="shared" si="24"/>
        <v>0</v>
      </c>
      <c r="H86">
        <f t="shared" si="25"/>
        <v>0</v>
      </c>
      <c r="J86" s="6">
        <f t="shared" si="26"/>
        <v>1.1916666666666667</v>
      </c>
      <c r="K86" s="6">
        <f t="shared" si="27"/>
        <v>0</v>
      </c>
    </row>
    <row r="87" spans="1:11" x14ac:dyDescent="0.2">
      <c r="D87" t="s">
        <v>280</v>
      </c>
      <c r="E87" t="s">
        <v>261</v>
      </c>
      <c r="F87">
        <v>129</v>
      </c>
      <c r="G87">
        <f t="shared" si="24"/>
        <v>0</v>
      </c>
      <c r="H87">
        <f t="shared" si="25"/>
        <v>0</v>
      </c>
      <c r="J87" s="6">
        <f t="shared" si="26"/>
        <v>1.075</v>
      </c>
      <c r="K87" s="6">
        <f t="shared" si="27"/>
        <v>0</v>
      </c>
    </row>
    <row r="88" spans="1:11" x14ac:dyDescent="0.2">
      <c r="D88" t="s">
        <v>281</v>
      </c>
      <c r="E88" t="s">
        <v>282</v>
      </c>
      <c r="F88">
        <v>145</v>
      </c>
      <c r="G88">
        <f t="shared" si="24"/>
        <v>0</v>
      </c>
      <c r="H88">
        <f t="shared" si="25"/>
        <v>0</v>
      </c>
      <c r="J88" s="6">
        <f t="shared" si="26"/>
        <v>1.2083333333333333</v>
      </c>
      <c r="K88" s="6">
        <f t="shared" si="27"/>
        <v>0</v>
      </c>
    </row>
    <row r="89" spans="1:11" x14ac:dyDescent="0.2">
      <c r="D89" t="s">
        <v>283</v>
      </c>
      <c r="E89" t="s">
        <v>282</v>
      </c>
      <c r="F89">
        <v>129</v>
      </c>
      <c r="G89">
        <f t="shared" si="24"/>
        <v>0</v>
      </c>
      <c r="H89">
        <f t="shared" si="25"/>
        <v>0</v>
      </c>
      <c r="J89" s="6">
        <f t="shared" si="26"/>
        <v>1.075</v>
      </c>
      <c r="K89" s="6">
        <f t="shared" si="27"/>
        <v>0</v>
      </c>
    </row>
    <row r="90" spans="1:11" x14ac:dyDescent="0.2">
      <c r="D90" t="s">
        <v>284</v>
      </c>
      <c r="E90" t="s">
        <v>239</v>
      </c>
      <c r="F90">
        <v>599</v>
      </c>
      <c r="G90">
        <f t="shared" si="24"/>
        <v>0</v>
      </c>
      <c r="H90">
        <f t="shared" si="25"/>
        <v>0</v>
      </c>
      <c r="J90" s="6">
        <f t="shared" si="26"/>
        <v>4.9916666666666663</v>
      </c>
      <c r="K90" s="6">
        <f t="shared" si="27"/>
        <v>0</v>
      </c>
    </row>
    <row r="91" spans="1:11" x14ac:dyDescent="0.2">
      <c r="D91" t="s">
        <v>285</v>
      </c>
      <c r="E91" t="s">
        <v>286</v>
      </c>
      <c r="F91">
        <v>239</v>
      </c>
      <c r="G91">
        <f t="shared" si="24"/>
        <v>0</v>
      </c>
      <c r="H91">
        <f t="shared" si="25"/>
        <v>0</v>
      </c>
      <c r="J91" s="6">
        <f t="shared" si="26"/>
        <v>1.9916666666666667</v>
      </c>
      <c r="K91" s="6">
        <f t="shared" si="27"/>
        <v>0</v>
      </c>
    </row>
    <row r="92" spans="1:11" x14ac:dyDescent="0.2">
      <c r="D92" t="s">
        <v>287</v>
      </c>
      <c r="E92" t="s">
        <v>288</v>
      </c>
      <c r="F92">
        <v>55</v>
      </c>
      <c r="G92">
        <f t="shared" si="24"/>
        <v>0</v>
      </c>
      <c r="H92">
        <f t="shared" si="25"/>
        <v>0</v>
      </c>
      <c r="J92" s="6">
        <f t="shared" si="26"/>
        <v>0.45833333333333331</v>
      </c>
      <c r="K92" s="6">
        <f t="shared" si="27"/>
        <v>0</v>
      </c>
    </row>
    <row r="93" spans="1:11" x14ac:dyDescent="0.2">
      <c r="D93" t="s">
        <v>289</v>
      </c>
      <c r="E93" t="s">
        <v>290</v>
      </c>
      <c r="F93">
        <v>239</v>
      </c>
      <c r="G93">
        <f t="shared" si="24"/>
        <v>0</v>
      </c>
      <c r="H93">
        <f t="shared" si="25"/>
        <v>0</v>
      </c>
      <c r="J93" s="6">
        <f t="shared" si="26"/>
        <v>1.9916666666666667</v>
      </c>
      <c r="K93" s="6">
        <f t="shared" si="27"/>
        <v>0</v>
      </c>
    </row>
    <row r="94" spans="1:11" x14ac:dyDescent="0.2">
      <c r="D94" t="s">
        <v>291</v>
      </c>
      <c r="E94" t="s">
        <v>251</v>
      </c>
      <c r="F94">
        <v>179</v>
      </c>
      <c r="G94">
        <f t="shared" si="24"/>
        <v>0</v>
      </c>
      <c r="H94">
        <f t="shared" si="25"/>
        <v>0</v>
      </c>
      <c r="J94" s="6">
        <f t="shared" si="26"/>
        <v>1.4916666666666667</v>
      </c>
      <c r="K94" s="6">
        <f t="shared" si="27"/>
        <v>0</v>
      </c>
    </row>
    <row r="95" spans="1:11" x14ac:dyDescent="0.2">
      <c r="D95" t="s">
        <v>292</v>
      </c>
      <c r="E95" t="s">
        <v>237</v>
      </c>
      <c r="F95">
        <v>485</v>
      </c>
      <c r="G95">
        <f t="shared" si="24"/>
        <v>0</v>
      </c>
      <c r="H95">
        <f t="shared" si="25"/>
        <v>0</v>
      </c>
      <c r="J95" s="6">
        <f t="shared" si="26"/>
        <v>4.041666666666667</v>
      </c>
      <c r="K95" s="6">
        <f t="shared" si="27"/>
        <v>0</v>
      </c>
    </row>
    <row r="96" spans="1:11" x14ac:dyDescent="0.2">
      <c r="H96">
        <f>SUM(H84:H95)</f>
        <v>370</v>
      </c>
      <c r="J96" s="6"/>
      <c r="K96" s="6">
        <f t="shared" si="27"/>
        <v>3.0833333333333335</v>
      </c>
    </row>
    <row r="97" spans="1:11" x14ac:dyDescent="0.2">
      <c r="C97" t="s">
        <v>293</v>
      </c>
      <c r="J97" s="6"/>
      <c r="K97" s="6"/>
    </row>
    <row r="98" spans="1:11" x14ac:dyDescent="0.2">
      <c r="A98">
        <v>1</v>
      </c>
      <c r="D98" t="s">
        <v>294</v>
      </c>
      <c r="E98" t="s">
        <v>295</v>
      </c>
      <c r="F98">
        <v>425</v>
      </c>
      <c r="G98">
        <f>A98+B98</f>
        <v>1</v>
      </c>
      <c r="H98">
        <f>F98*G98</f>
        <v>425</v>
      </c>
      <c r="J98" s="6">
        <f>F98/$J$2</f>
        <v>3.5416666666666665</v>
      </c>
      <c r="K98" s="6">
        <f>H98/$J$2</f>
        <v>3.5416666666666665</v>
      </c>
    </row>
    <row r="99" spans="1:11" x14ac:dyDescent="0.2">
      <c r="D99" t="s">
        <v>296</v>
      </c>
      <c r="E99" t="s">
        <v>253</v>
      </c>
      <c r="F99">
        <v>240</v>
      </c>
      <c r="G99">
        <f>A99+B99</f>
        <v>0</v>
      </c>
      <c r="H99">
        <f>F99*G99</f>
        <v>0</v>
      </c>
      <c r="J99" s="6">
        <f>F99/$J$2</f>
        <v>2</v>
      </c>
      <c r="K99" s="6">
        <f>H99/$J$2</f>
        <v>0</v>
      </c>
    </row>
    <row r="100" spans="1:11" x14ac:dyDescent="0.2">
      <c r="D100" t="s">
        <v>297</v>
      </c>
      <c r="E100" t="s">
        <v>261</v>
      </c>
      <c r="F100">
        <v>485</v>
      </c>
      <c r="G100">
        <f>A100+B100</f>
        <v>0</v>
      </c>
      <c r="H100">
        <f>F100*G100</f>
        <v>0</v>
      </c>
      <c r="J100" s="6">
        <f>F100/$J$2</f>
        <v>4.041666666666667</v>
      </c>
      <c r="K100" s="6">
        <f>H100/$J$2</f>
        <v>0</v>
      </c>
    </row>
    <row r="101" spans="1:11" x14ac:dyDescent="0.2">
      <c r="H101">
        <f>SUM(H98:H100)</f>
        <v>425</v>
      </c>
      <c r="J101" s="6"/>
      <c r="K101" s="6">
        <f>H101/$J$2</f>
        <v>3.5416666666666665</v>
      </c>
    </row>
    <row r="102" spans="1:11" x14ac:dyDescent="0.2">
      <c r="C102" t="s">
        <v>298</v>
      </c>
      <c r="J102" s="6"/>
      <c r="K102" s="6"/>
    </row>
    <row r="103" spans="1:11" x14ac:dyDescent="0.2">
      <c r="A103">
        <v>1</v>
      </c>
      <c r="D103" t="s">
        <v>299</v>
      </c>
      <c r="E103" t="s">
        <v>300</v>
      </c>
      <c r="F103">
        <v>440</v>
      </c>
      <c r="G103">
        <f t="shared" ref="G103:G115" si="28">A103+B103</f>
        <v>1</v>
      </c>
      <c r="H103">
        <f t="shared" ref="H103:H115" si="29">F103*G103</f>
        <v>440</v>
      </c>
      <c r="J103" s="6">
        <f t="shared" ref="J103:J115" si="30">F103/$J$2</f>
        <v>3.6666666666666665</v>
      </c>
      <c r="K103" s="6">
        <f t="shared" ref="K103:K116" si="31">H103/$J$2</f>
        <v>3.6666666666666665</v>
      </c>
    </row>
    <row r="104" spans="1:11" x14ac:dyDescent="0.2">
      <c r="D104" t="s">
        <v>301</v>
      </c>
      <c r="E104" t="s">
        <v>242</v>
      </c>
      <c r="F104">
        <v>350</v>
      </c>
      <c r="G104">
        <f t="shared" si="28"/>
        <v>0</v>
      </c>
      <c r="H104">
        <f t="shared" si="29"/>
        <v>0</v>
      </c>
      <c r="J104" s="6">
        <f t="shared" si="30"/>
        <v>2.9166666666666665</v>
      </c>
      <c r="K104" s="6">
        <f t="shared" si="31"/>
        <v>0</v>
      </c>
    </row>
    <row r="105" spans="1:11" x14ac:dyDescent="0.2">
      <c r="D105" t="s">
        <v>302</v>
      </c>
      <c r="E105" t="s">
        <v>242</v>
      </c>
      <c r="F105">
        <v>350</v>
      </c>
      <c r="G105">
        <f t="shared" si="28"/>
        <v>0</v>
      </c>
      <c r="H105">
        <f t="shared" si="29"/>
        <v>0</v>
      </c>
      <c r="J105" s="6">
        <f t="shared" si="30"/>
        <v>2.9166666666666665</v>
      </c>
      <c r="K105" s="6">
        <f t="shared" si="31"/>
        <v>0</v>
      </c>
    </row>
    <row r="106" spans="1:11" x14ac:dyDescent="0.2">
      <c r="D106" t="s">
        <v>303</v>
      </c>
      <c r="E106" t="s">
        <v>242</v>
      </c>
      <c r="F106">
        <v>260</v>
      </c>
      <c r="G106">
        <f t="shared" si="28"/>
        <v>0</v>
      </c>
      <c r="H106">
        <f t="shared" si="29"/>
        <v>0</v>
      </c>
      <c r="J106" s="6">
        <f t="shared" si="30"/>
        <v>2.1666666666666665</v>
      </c>
      <c r="K106" s="6">
        <f t="shared" si="31"/>
        <v>0</v>
      </c>
    </row>
    <row r="107" spans="1:11" x14ac:dyDescent="0.2">
      <c r="D107" t="s">
        <v>304</v>
      </c>
      <c r="E107" t="s">
        <v>242</v>
      </c>
      <c r="F107">
        <v>460</v>
      </c>
      <c r="G107">
        <f t="shared" si="28"/>
        <v>0</v>
      </c>
      <c r="H107">
        <f t="shared" si="29"/>
        <v>0</v>
      </c>
      <c r="J107" s="6">
        <f t="shared" si="30"/>
        <v>3.8333333333333335</v>
      </c>
      <c r="K107" s="6">
        <f t="shared" si="31"/>
        <v>0</v>
      </c>
    </row>
    <row r="108" spans="1:11" x14ac:dyDescent="0.2">
      <c r="D108" t="s">
        <v>305</v>
      </c>
      <c r="E108" t="s">
        <v>300</v>
      </c>
      <c r="F108">
        <v>330</v>
      </c>
      <c r="G108">
        <f t="shared" si="28"/>
        <v>0</v>
      </c>
      <c r="H108">
        <f t="shared" si="29"/>
        <v>0</v>
      </c>
      <c r="J108" s="6">
        <f t="shared" si="30"/>
        <v>2.75</v>
      </c>
      <c r="K108" s="6">
        <f t="shared" si="31"/>
        <v>0</v>
      </c>
    </row>
    <row r="109" spans="1:11" x14ac:dyDescent="0.2">
      <c r="D109" t="s">
        <v>306</v>
      </c>
      <c r="E109" t="s">
        <v>242</v>
      </c>
      <c r="F109">
        <v>530</v>
      </c>
      <c r="G109">
        <f t="shared" si="28"/>
        <v>0</v>
      </c>
      <c r="H109">
        <f t="shared" si="29"/>
        <v>0</v>
      </c>
      <c r="J109" s="6">
        <f t="shared" si="30"/>
        <v>4.416666666666667</v>
      </c>
      <c r="K109" s="6">
        <f t="shared" si="31"/>
        <v>0</v>
      </c>
    </row>
    <row r="110" spans="1:11" x14ac:dyDescent="0.2">
      <c r="D110" t="s">
        <v>307</v>
      </c>
      <c r="E110" t="s">
        <v>253</v>
      </c>
      <c r="F110">
        <v>220</v>
      </c>
      <c r="G110">
        <f t="shared" si="28"/>
        <v>0</v>
      </c>
      <c r="H110">
        <f t="shared" si="29"/>
        <v>0</v>
      </c>
      <c r="J110" s="6">
        <f t="shared" si="30"/>
        <v>1.8333333333333333</v>
      </c>
      <c r="K110" s="6">
        <f t="shared" si="31"/>
        <v>0</v>
      </c>
    </row>
    <row r="111" spans="1:11" x14ac:dyDescent="0.2">
      <c r="D111" t="s">
        <v>308</v>
      </c>
      <c r="E111" t="s">
        <v>242</v>
      </c>
      <c r="F111">
        <v>230</v>
      </c>
      <c r="G111">
        <f t="shared" si="28"/>
        <v>0</v>
      </c>
      <c r="H111">
        <f t="shared" si="29"/>
        <v>0</v>
      </c>
      <c r="J111" s="6">
        <f t="shared" si="30"/>
        <v>1.9166666666666667</v>
      </c>
      <c r="K111" s="6">
        <f t="shared" si="31"/>
        <v>0</v>
      </c>
    </row>
    <row r="112" spans="1:11" x14ac:dyDescent="0.2">
      <c r="D112" t="s">
        <v>309</v>
      </c>
      <c r="E112" t="s">
        <v>242</v>
      </c>
      <c r="F112">
        <v>295</v>
      </c>
      <c r="G112">
        <f t="shared" si="28"/>
        <v>0</v>
      </c>
      <c r="H112">
        <f t="shared" si="29"/>
        <v>0</v>
      </c>
      <c r="J112" s="6">
        <f t="shared" si="30"/>
        <v>2.4583333333333335</v>
      </c>
      <c r="K112" s="6">
        <f t="shared" si="31"/>
        <v>0</v>
      </c>
    </row>
    <row r="113" spans="1:11" x14ac:dyDescent="0.2">
      <c r="D113" t="s">
        <v>310</v>
      </c>
      <c r="E113" t="s">
        <v>242</v>
      </c>
      <c r="F113">
        <v>260</v>
      </c>
      <c r="G113">
        <f t="shared" si="28"/>
        <v>0</v>
      </c>
      <c r="H113">
        <f t="shared" si="29"/>
        <v>0</v>
      </c>
      <c r="J113" s="6">
        <f t="shared" si="30"/>
        <v>2.1666666666666665</v>
      </c>
      <c r="K113" s="6">
        <f t="shared" si="31"/>
        <v>0</v>
      </c>
    </row>
    <row r="114" spans="1:11" x14ac:dyDescent="0.2">
      <c r="D114" t="s">
        <v>311</v>
      </c>
      <c r="E114" t="s">
        <v>242</v>
      </c>
      <c r="F114">
        <v>215</v>
      </c>
      <c r="G114">
        <f t="shared" si="28"/>
        <v>0</v>
      </c>
      <c r="H114">
        <f t="shared" si="29"/>
        <v>0</v>
      </c>
      <c r="J114" s="6">
        <f t="shared" si="30"/>
        <v>1.7916666666666667</v>
      </c>
      <c r="K114" s="6">
        <f t="shared" si="31"/>
        <v>0</v>
      </c>
    </row>
    <row r="115" spans="1:11" x14ac:dyDescent="0.2">
      <c r="D115" t="s">
        <v>312</v>
      </c>
      <c r="E115" t="s">
        <v>242</v>
      </c>
      <c r="F115">
        <v>835</v>
      </c>
      <c r="G115">
        <f t="shared" si="28"/>
        <v>0</v>
      </c>
      <c r="H115">
        <f t="shared" si="29"/>
        <v>0</v>
      </c>
      <c r="J115" s="6">
        <f t="shared" si="30"/>
        <v>6.958333333333333</v>
      </c>
      <c r="K115" s="6">
        <f t="shared" si="31"/>
        <v>0</v>
      </c>
    </row>
    <row r="116" spans="1:11" x14ac:dyDescent="0.2">
      <c r="H116">
        <f>SUM(H103:H115)</f>
        <v>440</v>
      </c>
      <c r="J116" s="6"/>
      <c r="K116" s="6">
        <f t="shared" si="31"/>
        <v>3.6666666666666665</v>
      </c>
    </row>
    <row r="117" spans="1:11" x14ac:dyDescent="0.2">
      <c r="C117" t="s">
        <v>313</v>
      </c>
      <c r="J117" s="6"/>
      <c r="K117" s="6"/>
    </row>
    <row r="118" spans="1:11" x14ac:dyDescent="0.2">
      <c r="A118">
        <v>1</v>
      </c>
      <c r="D118" t="s">
        <v>314</v>
      </c>
      <c r="E118" t="s">
        <v>315</v>
      </c>
      <c r="F118">
        <v>320</v>
      </c>
      <c r="G118">
        <f t="shared" ref="G118:G131" si="32">A118+B118</f>
        <v>1</v>
      </c>
      <c r="H118">
        <f t="shared" ref="H118:H131" si="33">F118*G118</f>
        <v>320</v>
      </c>
      <c r="J118" s="6">
        <f t="shared" ref="J118:J131" si="34">F118/$J$2</f>
        <v>2.6666666666666665</v>
      </c>
      <c r="K118" s="6">
        <f t="shared" ref="K118:K132" si="35">H118/$J$2</f>
        <v>2.6666666666666665</v>
      </c>
    </row>
    <row r="119" spans="1:11" x14ac:dyDescent="0.2">
      <c r="D119" t="s">
        <v>316</v>
      </c>
      <c r="E119" t="s">
        <v>317</v>
      </c>
      <c r="F119">
        <v>260</v>
      </c>
      <c r="G119">
        <f t="shared" si="32"/>
        <v>0</v>
      </c>
      <c r="H119">
        <f t="shared" si="33"/>
        <v>0</v>
      </c>
      <c r="J119" s="6">
        <f t="shared" si="34"/>
        <v>2.1666666666666665</v>
      </c>
      <c r="K119" s="6">
        <f t="shared" si="35"/>
        <v>0</v>
      </c>
    </row>
    <row r="120" spans="1:11" x14ac:dyDescent="0.2">
      <c r="D120" t="s">
        <v>318</v>
      </c>
      <c r="E120" t="s">
        <v>319</v>
      </c>
      <c r="F120">
        <v>355</v>
      </c>
      <c r="G120">
        <f t="shared" si="32"/>
        <v>0</v>
      </c>
      <c r="H120">
        <f t="shared" si="33"/>
        <v>0</v>
      </c>
      <c r="J120" s="6">
        <f t="shared" si="34"/>
        <v>2.9583333333333335</v>
      </c>
      <c r="K120" s="6">
        <f t="shared" si="35"/>
        <v>0</v>
      </c>
    </row>
    <row r="121" spans="1:11" x14ac:dyDescent="0.2">
      <c r="D121" t="s">
        <v>320</v>
      </c>
      <c r="E121" t="s">
        <v>321</v>
      </c>
      <c r="F121">
        <v>375</v>
      </c>
      <c r="G121">
        <f t="shared" si="32"/>
        <v>0</v>
      </c>
      <c r="H121">
        <f t="shared" si="33"/>
        <v>0</v>
      </c>
      <c r="J121" s="6">
        <f t="shared" si="34"/>
        <v>3.125</v>
      </c>
      <c r="K121" s="6">
        <f t="shared" si="35"/>
        <v>0</v>
      </c>
    </row>
    <row r="122" spans="1:11" x14ac:dyDescent="0.2">
      <c r="D122" t="s">
        <v>322</v>
      </c>
      <c r="E122" t="s">
        <v>253</v>
      </c>
      <c r="F122">
        <v>375</v>
      </c>
      <c r="G122">
        <f t="shared" si="32"/>
        <v>0</v>
      </c>
      <c r="H122">
        <f t="shared" si="33"/>
        <v>0</v>
      </c>
      <c r="J122" s="6">
        <f t="shared" si="34"/>
        <v>3.125</v>
      </c>
      <c r="K122" s="6">
        <f t="shared" si="35"/>
        <v>0</v>
      </c>
    </row>
    <row r="123" spans="1:11" x14ac:dyDescent="0.2">
      <c r="D123" t="s">
        <v>323</v>
      </c>
      <c r="E123" t="s">
        <v>324</v>
      </c>
      <c r="F123">
        <v>15</v>
      </c>
      <c r="G123">
        <f t="shared" si="32"/>
        <v>0</v>
      </c>
      <c r="H123">
        <f t="shared" si="33"/>
        <v>0</v>
      </c>
      <c r="J123" s="6">
        <f t="shared" si="34"/>
        <v>0.125</v>
      </c>
      <c r="K123" s="6">
        <f t="shared" si="35"/>
        <v>0</v>
      </c>
    </row>
    <row r="124" spans="1:11" x14ac:dyDescent="0.2">
      <c r="D124" t="s">
        <v>325</v>
      </c>
      <c r="E124" t="s">
        <v>326</v>
      </c>
      <c r="F124">
        <v>600</v>
      </c>
      <c r="G124">
        <f t="shared" si="32"/>
        <v>0</v>
      </c>
      <c r="H124">
        <f t="shared" si="33"/>
        <v>0</v>
      </c>
      <c r="J124" s="6">
        <f t="shared" si="34"/>
        <v>5</v>
      </c>
      <c r="K124" s="6">
        <f t="shared" si="35"/>
        <v>0</v>
      </c>
    </row>
    <row r="125" spans="1:11" x14ac:dyDescent="0.2">
      <c r="D125" t="s">
        <v>327</v>
      </c>
      <c r="E125" t="s">
        <v>328</v>
      </c>
      <c r="F125">
        <v>770</v>
      </c>
      <c r="G125">
        <f t="shared" si="32"/>
        <v>0</v>
      </c>
      <c r="H125">
        <f t="shared" si="33"/>
        <v>0</v>
      </c>
      <c r="J125" s="6">
        <f t="shared" si="34"/>
        <v>6.416666666666667</v>
      </c>
      <c r="K125" s="6">
        <f t="shared" si="35"/>
        <v>0</v>
      </c>
    </row>
    <row r="126" spans="1:11" x14ac:dyDescent="0.2">
      <c r="D126" t="s">
        <v>329</v>
      </c>
      <c r="E126" t="s">
        <v>330</v>
      </c>
      <c r="F126">
        <v>1240</v>
      </c>
      <c r="G126">
        <f t="shared" si="32"/>
        <v>0</v>
      </c>
      <c r="H126">
        <f t="shared" si="33"/>
        <v>0</v>
      </c>
      <c r="J126" s="6">
        <f t="shared" si="34"/>
        <v>10.333333333333334</v>
      </c>
      <c r="K126" s="6">
        <f t="shared" si="35"/>
        <v>0</v>
      </c>
    </row>
    <row r="127" spans="1:11" x14ac:dyDescent="0.2">
      <c r="D127" t="s">
        <v>331</v>
      </c>
      <c r="E127" t="s">
        <v>253</v>
      </c>
      <c r="F127">
        <v>425</v>
      </c>
      <c r="G127">
        <f t="shared" si="32"/>
        <v>0</v>
      </c>
      <c r="H127">
        <f t="shared" si="33"/>
        <v>0</v>
      </c>
      <c r="J127" s="6">
        <f t="shared" si="34"/>
        <v>3.5416666666666665</v>
      </c>
      <c r="K127" s="6">
        <f t="shared" si="35"/>
        <v>0</v>
      </c>
    </row>
    <row r="128" spans="1:11" x14ac:dyDescent="0.2">
      <c r="D128" t="s">
        <v>332</v>
      </c>
      <c r="E128" t="s">
        <v>319</v>
      </c>
      <c r="F128">
        <v>445</v>
      </c>
      <c r="G128">
        <f t="shared" si="32"/>
        <v>0</v>
      </c>
      <c r="H128">
        <f t="shared" si="33"/>
        <v>0</v>
      </c>
      <c r="J128" s="6">
        <f t="shared" si="34"/>
        <v>3.7083333333333335</v>
      </c>
      <c r="K128" s="6">
        <f t="shared" si="35"/>
        <v>0</v>
      </c>
    </row>
    <row r="129" spans="1:11" x14ac:dyDescent="0.2">
      <c r="D129" t="s">
        <v>333</v>
      </c>
      <c r="E129" t="s">
        <v>247</v>
      </c>
      <c r="F129">
        <v>305</v>
      </c>
      <c r="G129">
        <f t="shared" si="32"/>
        <v>0</v>
      </c>
      <c r="H129">
        <f t="shared" si="33"/>
        <v>0</v>
      </c>
      <c r="J129" s="6">
        <f t="shared" si="34"/>
        <v>2.5416666666666665</v>
      </c>
      <c r="K129" s="6">
        <f t="shared" si="35"/>
        <v>0</v>
      </c>
    </row>
    <row r="130" spans="1:11" x14ac:dyDescent="0.2">
      <c r="D130" t="s">
        <v>334</v>
      </c>
      <c r="E130" t="s">
        <v>335</v>
      </c>
      <c r="F130">
        <v>450</v>
      </c>
      <c r="G130">
        <f t="shared" si="32"/>
        <v>0</v>
      </c>
      <c r="H130">
        <f t="shared" si="33"/>
        <v>0</v>
      </c>
      <c r="J130" s="6">
        <f t="shared" si="34"/>
        <v>3.75</v>
      </c>
      <c r="K130" s="6">
        <f t="shared" si="35"/>
        <v>0</v>
      </c>
    </row>
    <row r="131" spans="1:11" x14ac:dyDescent="0.2">
      <c r="D131" t="s">
        <v>336</v>
      </c>
      <c r="E131" t="s">
        <v>253</v>
      </c>
      <c r="F131">
        <v>190</v>
      </c>
      <c r="G131">
        <f t="shared" si="32"/>
        <v>0</v>
      </c>
      <c r="H131">
        <f t="shared" si="33"/>
        <v>0</v>
      </c>
      <c r="J131" s="6">
        <f t="shared" si="34"/>
        <v>1.5833333333333333</v>
      </c>
      <c r="K131" s="6">
        <f t="shared" si="35"/>
        <v>0</v>
      </c>
    </row>
    <row r="132" spans="1:11" x14ac:dyDescent="0.2">
      <c r="H132">
        <f>SUM(H118:H131)</f>
        <v>320</v>
      </c>
      <c r="K132" s="6">
        <f t="shared" si="35"/>
        <v>2.6666666666666665</v>
      </c>
    </row>
    <row r="133" spans="1:11" x14ac:dyDescent="0.2">
      <c r="C133" t="s">
        <v>337</v>
      </c>
    </row>
    <row r="134" spans="1:11" x14ac:dyDescent="0.2">
      <c r="A134">
        <v>1</v>
      </c>
      <c r="D134" t="s">
        <v>338</v>
      </c>
      <c r="E134" t="s">
        <v>242</v>
      </c>
      <c r="F134">
        <v>630</v>
      </c>
      <c r="G134">
        <f t="shared" ref="G134:G139" si="36">A134+B134</f>
        <v>1</v>
      </c>
      <c r="H134">
        <f t="shared" ref="H134:H139" si="37">F134*G134</f>
        <v>630</v>
      </c>
      <c r="J134" s="6">
        <f t="shared" ref="J134:J139" si="38">F134/$J$2</f>
        <v>5.25</v>
      </c>
      <c r="K134" s="6">
        <f t="shared" ref="K134:K140" si="39">H134/$J$2</f>
        <v>5.25</v>
      </c>
    </row>
    <row r="135" spans="1:11" x14ac:dyDescent="0.2">
      <c r="D135" t="s">
        <v>339</v>
      </c>
      <c r="E135" t="s">
        <v>242</v>
      </c>
      <c r="F135">
        <v>1420</v>
      </c>
      <c r="G135">
        <f t="shared" si="36"/>
        <v>0</v>
      </c>
      <c r="H135">
        <f t="shared" si="37"/>
        <v>0</v>
      </c>
      <c r="J135" s="6">
        <f t="shared" si="38"/>
        <v>11.833333333333334</v>
      </c>
      <c r="K135" s="6">
        <f t="shared" si="39"/>
        <v>0</v>
      </c>
    </row>
    <row r="136" spans="1:11" x14ac:dyDescent="0.2">
      <c r="D136" t="s">
        <v>340</v>
      </c>
      <c r="E136" t="s">
        <v>242</v>
      </c>
      <c r="F136">
        <v>1235</v>
      </c>
      <c r="G136">
        <f t="shared" si="36"/>
        <v>0</v>
      </c>
      <c r="H136">
        <f t="shared" si="37"/>
        <v>0</v>
      </c>
      <c r="J136" s="6">
        <f t="shared" si="38"/>
        <v>10.291666666666666</v>
      </c>
      <c r="K136" s="6">
        <f t="shared" si="39"/>
        <v>0</v>
      </c>
    </row>
    <row r="137" spans="1:11" x14ac:dyDescent="0.2">
      <c r="D137" t="s">
        <v>341</v>
      </c>
      <c r="E137" t="s">
        <v>242</v>
      </c>
      <c r="F137">
        <v>1195</v>
      </c>
      <c r="G137">
        <f t="shared" si="36"/>
        <v>0</v>
      </c>
      <c r="H137">
        <f t="shared" si="37"/>
        <v>0</v>
      </c>
      <c r="J137" s="6">
        <f t="shared" si="38"/>
        <v>9.9583333333333339</v>
      </c>
      <c r="K137" s="6">
        <f t="shared" si="39"/>
        <v>0</v>
      </c>
    </row>
    <row r="138" spans="1:11" x14ac:dyDescent="0.2">
      <c r="D138" t="s">
        <v>342</v>
      </c>
      <c r="E138" t="s">
        <v>242</v>
      </c>
      <c r="F138">
        <v>1765</v>
      </c>
      <c r="G138">
        <f t="shared" si="36"/>
        <v>0</v>
      </c>
      <c r="H138">
        <f t="shared" si="37"/>
        <v>0</v>
      </c>
      <c r="J138" s="6">
        <f t="shared" si="38"/>
        <v>14.708333333333334</v>
      </c>
      <c r="K138" s="6">
        <f t="shared" si="39"/>
        <v>0</v>
      </c>
    </row>
    <row r="139" spans="1:11" x14ac:dyDescent="0.2">
      <c r="D139" t="s">
        <v>343</v>
      </c>
      <c r="E139" t="s">
        <v>242</v>
      </c>
      <c r="F139">
        <v>1700</v>
      </c>
      <c r="G139">
        <f t="shared" si="36"/>
        <v>0</v>
      </c>
      <c r="H139">
        <f t="shared" si="37"/>
        <v>0</v>
      </c>
      <c r="J139" s="6">
        <f t="shared" si="38"/>
        <v>14.166666666666666</v>
      </c>
      <c r="K139" s="6">
        <f t="shared" si="39"/>
        <v>0</v>
      </c>
    </row>
    <row r="140" spans="1:11" x14ac:dyDescent="0.2">
      <c r="H140">
        <f>SUM(H134:H139)</f>
        <v>630</v>
      </c>
      <c r="K140" s="6">
        <f t="shared" si="39"/>
        <v>5.25</v>
      </c>
    </row>
  </sheetData>
  <phoneticPr fontId="9" type="noConversion"/>
  <printOptions gridLines="1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>
      <pane ySplit="825" topLeftCell="A6" activePane="bottomLeft"/>
      <selection activeCell="A28" sqref="A28"/>
      <selection pane="bottomLeft" activeCell="C14" sqref="C14"/>
    </sheetView>
  </sheetViews>
  <sheetFormatPr defaultColWidth="8.42578125" defaultRowHeight="12.75" x14ac:dyDescent="0.2"/>
  <cols>
    <col min="1" max="1" width="11" customWidth="1"/>
    <col min="2" max="2" width="11.28515625" customWidth="1"/>
    <col min="3" max="3" width="9" bestFit="1" customWidth="1"/>
    <col min="4" max="6" width="11.42578125" bestFit="1" customWidth="1"/>
    <col min="7" max="7" width="8.42578125" bestFit="1" customWidth="1"/>
    <col min="8" max="8" width="12.85546875" customWidth="1"/>
  </cols>
  <sheetData>
    <row r="1" spans="1:14" x14ac:dyDescent="0.2">
      <c r="A1" t="s">
        <v>408</v>
      </c>
    </row>
    <row r="2" spans="1:14" x14ac:dyDescent="0.2">
      <c r="A2" t="s">
        <v>1</v>
      </c>
      <c r="C2" t="s">
        <v>2</v>
      </c>
      <c r="D2" t="s">
        <v>3</v>
      </c>
      <c r="E2" t="s">
        <v>75</v>
      </c>
      <c r="F2" t="s">
        <v>76</v>
      </c>
      <c r="G2" s="48" t="s">
        <v>578</v>
      </c>
      <c r="H2" s="48" t="s">
        <v>579</v>
      </c>
      <c r="I2" t="s">
        <v>9</v>
      </c>
      <c r="J2" t="s">
        <v>10</v>
      </c>
    </row>
    <row r="3" spans="1:14" x14ac:dyDescent="0.2">
      <c r="B3" t="s">
        <v>11</v>
      </c>
      <c r="C3" s="5"/>
      <c r="D3" s="5"/>
      <c r="E3" s="5"/>
      <c r="F3" s="5"/>
      <c r="G3" s="5"/>
      <c r="H3" s="5"/>
      <c r="I3" s="5"/>
    </row>
    <row r="4" spans="1:14" x14ac:dyDescent="0.2">
      <c r="B4" t="s">
        <v>12</v>
      </c>
      <c r="C4">
        <v>1800</v>
      </c>
      <c r="D4">
        <v>1800</v>
      </c>
      <c r="E4">
        <v>1800</v>
      </c>
      <c r="F4">
        <v>1800</v>
      </c>
      <c r="G4">
        <v>1800</v>
      </c>
      <c r="H4">
        <v>1800</v>
      </c>
      <c r="I4">
        <v>1600</v>
      </c>
      <c r="J4">
        <v>1600</v>
      </c>
    </row>
    <row r="5" spans="1:14" x14ac:dyDescent="0.2">
      <c r="B5" s="48" t="s">
        <v>580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</row>
    <row r="9" spans="1:14" x14ac:dyDescent="0.2">
      <c r="A9" t="s">
        <v>17</v>
      </c>
      <c r="C9">
        <f t="shared" ref="C9:J9" si="0">SUM(C4:C8)</f>
        <v>1800</v>
      </c>
      <c r="D9">
        <f t="shared" si="0"/>
        <v>1800</v>
      </c>
      <c r="E9">
        <f t="shared" si="0"/>
        <v>1800</v>
      </c>
      <c r="F9">
        <f t="shared" si="0"/>
        <v>1800</v>
      </c>
      <c r="G9">
        <f t="shared" si="0"/>
        <v>1800</v>
      </c>
      <c r="H9">
        <f t="shared" si="0"/>
        <v>1800</v>
      </c>
      <c r="I9">
        <f t="shared" si="0"/>
        <v>1600</v>
      </c>
      <c r="J9">
        <f t="shared" si="0"/>
        <v>1600</v>
      </c>
    </row>
    <row r="10" spans="1:14" x14ac:dyDescent="0.2">
      <c r="B10" t="s">
        <v>411</v>
      </c>
      <c r="C10">
        <f>C9/$B23</f>
        <v>0.12857142857142856</v>
      </c>
      <c r="I10">
        <f>I9/$B23</f>
        <v>0.11428571428571428</v>
      </c>
    </row>
    <row r="11" spans="1:14" x14ac:dyDescent="0.2">
      <c r="A11" t="s">
        <v>18</v>
      </c>
      <c r="B11" s="10">
        <f>SUM(C11:M11)</f>
        <v>11409</v>
      </c>
      <c r="C11" s="49">
        <f t="shared" ref="C11:J11" si="1">SUM(C13:C21)</f>
        <v>9569</v>
      </c>
      <c r="D11" s="8">
        <f>SUM(D13:D20)/$F$12</f>
        <v>1840</v>
      </c>
      <c r="E11" s="8">
        <f t="shared" si="1"/>
        <v>0</v>
      </c>
      <c r="F11" s="8">
        <f t="shared" si="1"/>
        <v>0</v>
      </c>
      <c r="G11" s="8">
        <f t="shared" si="1"/>
        <v>0</v>
      </c>
      <c r="H11" s="10">
        <f t="shared" si="1"/>
        <v>0</v>
      </c>
      <c r="I11" s="10">
        <f t="shared" si="1"/>
        <v>0</v>
      </c>
      <c r="J11" s="10">
        <f t="shared" si="1"/>
        <v>0</v>
      </c>
      <c r="M11" t="s">
        <v>79</v>
      </c>
    </row>
    <row r="12" spans="1:14" x14ac:dyDescent="0.2">
      <c r="A12" t="s">
        <v>19</v>
      </c>
      <c r="C12" t="s">
        <v>20</v>
      </c>
      <c r="E12" s="13" t="s">
        <v>21</v>
      </c>
      <c r="F12" s="50">
        <f>1000/575</f>
        <v>1.7391304347826086</v>
      </c>
      <c r="G12" s="48" t="s">
        <v>582</v>
      </c>
      <c r="M12" t="s">
        <v>80</v>
      </c>
      <c r="N12">
        <f>263.39/198.08</f>
        <v>1.329715266558966</v>
      </c>
    </row>
    <row r="13" spans="1:14" x14ac:dyDescent="0.2">
      <c r="B13" t="s">
        <v>23</v>
      </c>
      <c r="C13">
        <f>8955-895-403</f>
        <v>7657</v>
      </c>
      <c r="D13">
        <v>3200</v>
      </c>
      <c r="G13" s="48"/>
      <c r="M13" s="48" t="s">
        <v>581</v>
      </c>
      <c r="N13">
        <f>252.06/677.6</f>
        <v>0.37198937426210155</v>
      </c>
    </row>
    <row r="14" spans="1:14" x14ac:dyDescent="0.2">
      <c r="C14">
        <v>531</v>
      </c>
      <c r="N14" s="34">
        <f>1/5.45</f>
        <v>0.18348623853211007</v>
      </c>
    </row>
    <row r="15" spans="1:14" x14ac:dyDescent="0.2">
      <c r="C15">
        <v>195</v>
      </c>
      <c r="I15" s="7"/>
      <c r="M15" s="36" t="s">
        <v>410</v>
      </c>
      <c r="N15">
        <v>32.200000000000003</v>
      </c>
    </row>
    <row r="16" spans="1:14" x14ac:dyDescent="0.2">
      <c r="C16">
        <v>675</v>
      </c>
      <c r="J16" s="8"/>
    </row>
    <row r="17" spans="1:15" x14ac:dyDescent="0.2">
      <c r="C17">
        <v>112</v>
      </c>
    </row>
    <row r="18" spans="1:15" x14ac:dyDescent="0.2">
      <c r="C18">
        <v>210</v>
      </c>
    </row>
    <row r="19" spans="1:15" x14ac:dyDescent="0.2">
      <c r="C19">
        <v>189</v>
      </c>
    </row>
    <row r="20" spans="1:15" x14ac:dyDescent="0.2">
      <c r="C20" s="48" t="s">
        <v>583</v>
      </c>
      <c r="D20" s="48" t="s">
        <v>584</v>
      </c>
      <c r="E20" s="48" t="s">
        <v>584</v>
      </c>
      <c r="F20" s="48" t="s">
        <v>584</v>
      </c>
      <c r="G20" s="48" t="s">
        <v>584</v>
      </c>
      <c r="H20" s="48" t="s">
        <v>584</v>
      </c>
      <c r="N20">
        <f>(300+750)/32</f>
        <v>32.8125</v>
      </c>
      <c r="O20">
        <f>300/32</f>
        <v>9.375</v>
      </c>
    </row>
    <row r="21" spans="1:15" x14ac:dyDescent="0.2">
      <c r="N21">
        <f>N20/6*2</f>
        <v>10.9375</v>
      </c>
      <c r="O21">
        <f>750/32</f>
        <v>23.4375</v>
      </c>
    </row>
    <row r="22" spans="1:15" x14ac:dyDescent="0.2">
      <c r="A22" t="s">
        <v>24</v>
      </c>
      <c r="B22" s="4" t="s">
        <v>25</v>
      </c>
      <c r="E22">
        <f>6*1200</f>
        <v>7200</v>
      </c>
    </row>
    <row r="23" spans="1:15" x14ac:dyDescent="0.2">
      <c r="A23" t="s">
        <v>26</v>
      </c>
      <c r="B23">
        <f>1800*6+2*(1600)</f>
        <v>14000</v>
      </c>
      <c r="D23" t="s">
        <v>65</v>
      </c>
      <c r="E23" t="s">
        <v>84</v>
      </c>
    </row>
    <row r="24" spans="1:15" x14ac:dyDescent="0.2">
      <c r="A24" t="s">
        <v>29</v>
      </c>
      <c r="B24">
        <f>+B11</f>
        <v>11409</v>
      </c>
      <c r="C24" t="s">
        <v>85</v>
      </c>
      <c r="D24" s="1">
        <f>B24*C10</f>
        <v>1466.8714285714284</v>
      </c>
      <c r="E24" s="1">
        <f>B24*I10</f>
        <v>1303.8857142857144</v>
      </c>
    </row>
    <row r="25" spans="1:15" x14ac:dyDescent="0.2">
      <c r="A25" t="s">
        <v>86</v>
      </c>
      <c r="B25">
        <f>B23-B24</f>
        <v>2591</v>
      </c>
      <c r="C25">
        <f>C9+C11-B23</f>
        <v>-2631</v>
      </c>
      <c r="D25">
        <f t="shared" ref="D25:J25" si="2">D9+D11</f>
        <v>3640</v>
      </c>
      <c r="E25">
        <f t="shared" si="2"/>
        <v>1800</v>
      </c>
      <c r="F25">
        <f t="shared" si="2"/>
        <v>1800</v>
      </c>
      <c r="G25">
        <f t="shared" si="2"/>
        <v>1800</v>
      </c>
      <c r="H25">
        <f t="shared" si="2"/>
        <v>1800</v>
      </c>
      <c r="I25">
        <f t="shared" si="2"/>
        <v>1600</v>
      </c>
      <c r="J25">
        <f t="shared" si="2"/>
        <v>1600</v>
      </c>
    </row>
    <row r="26" spans="1:15" x14ac:dyDescent="0.2">
      <c r="A26" s="14" t="s">
        <v>31</v>
      </c>
      <c r="B26" s="14"/>
      <c r="C26" s="15">
        <f t="shared" ref="C26:H26" si="3">C25-$D$24</f>
        <v>-4097.8714285714286</v>
      </c>
      <c r="D26" s="15">
        <f t="shared" si="3"/>
        <v>2173.1285714285714</v>
      </c>
      <c r="E26" s="15">
        <f t="shared" si="3"/>
        <v>333.1285714285716</v>
      </c>
      <c r="F26" s="15">
        <f t="shared" si="3"/>
        <v>333.1285714285716</v>
      </c>
      <c r="G26" s="15">
        <f t="shared" si="3"/>
        <v>333.1285714285716</v>
      </c>
      <c r="H26" s="15">
        <f t="shared" si="3"/>
        <v>333.1285714285716</v>
      </c>
      <c r="I26" s="15">
        <f>I25-$E$24</f>
        <v>296.11428571428564</v>
      </c>
      <c r="J26" s="15">
        <f>J25-$E$24</f>
        <v>296.11428571428564</v>
      </c>
      <c r="K26" t="s">
        <v>32</v>
      </c>
    </row>
    <row r="27" spans="1:15" x14ac:dyDescent="0.2">
      <c r="A27" t="s">
        <v>33</v>
      </c>
      <c r="B27" s="12">
        <f>1200-D24</f>
        <v>-266.8714285714284</v>
      </c>
      <c r="C27" s="12">
        <f>C26+D26</f>
        <v>-1924.7428571428572</v>
      </c>
      <c r="D27" s="12"/>
      <c r="E27" s="12">
        <f>E26+F26</f>
        <v>666.25714285714321</v>
      </c>
      <c r="F27" s="12"/>
      <c r="G27" s="12">
        <f>G26+H26</f>
        <v>666.25714285714321</v>
      </c>
      <c r="H27" s="12"/>
      <c r="I27" s="12">
        <f>I26+J26</f>
        <v>592.22857142857129</v>
      </c>
      <c r="K27" t="s">
        <v>34</v>
      </c>
    </row>
    <row r="30" spans="1:15" x14ac:dyDescent="0.2">
      <c r="A30" t="s">
        <v>11</v>
      </c>
    </row>
    <row r="31" spans="1:15" x14ac:dyDescent="0.2">
      <c r="C31" t="s">
        <v>89</v>
      </c>
      <c r="D31" t="s">
        <v>90</v>
      </c>
      <c r="F31" t="s">
        <v>91</v>
      </c>
      <c r="G31" t="s">
        <v>89</v>
      </c>
      <c r="H31" t="s">
        <v>90</v>
      </c>
      <c r="J31" s="1"/>
    </row>
    <row r="32" spans="1:15" x14ac:dyDescent="0.2">
      <c r="A32" t="s">
        <v>35</v>
      </c>
      <c r="C32" s="11">
        <f>D24</f>
        <v>1466.8714285714284</v>
      </c>
      <c r="D32">
        <v>828</v>
      </c>
      <c r="F32" t="s">
        <v>92</v>
      </c>
      <c r="G32">
        <v>613</v>
      </c>
      <c r="H32">
        <v>306.5</v>
      </c>
    </row>
    <row r="33" spans="1:10" x14ac:dyDescent="0.2">
      <c r="A33" t="s">
        <v>36</v>
      </c>
      <c r="C33" s="11">
        <f>B23</f>
        <v>14000</v>
      </c>
      <c r="F33" t="s">
        <v>93</v>
      </c>
      <c r="G33">
        <v>200</v>
      </c>
      <c r="H33">
        <v>50</v>
      </c>
    </row>
    <row r="34" spans="1:10" x14ac:dyDescent="0.2">
      <c r="A34" t="s">
        <v>37</v>
      </c>
      <c r="C34" s="11">
        <f>B24</f>
        <v>11409</v>
      </c>
      <c r="F34" t="s">
        <v>94</v>
      </c>
      <c r="G34">
        <f>1100-813</f>
        <v>287</v>
      </c>
      <c r="H34">
        <f>G34/2</f>
        <v>143.5</v>
      </c>
      <c r="J34" s="12"/>
    </row>
    <row r="35" spans="1:10" x14ac:dyDescent="0.2">
      <c r="F35" t="s">
        <v>95</v>
      </c>
      <c r="G35">
        <f>SUM(G32:G34)</f>
        <v>1100</v>
      </c>
      <c r="H35">
        <f>SUM(H32:H34)</f>
        <v>500</v>
      </c>
    </row>
    <row r="37" spans="1:10" x14ac:dyDescent="0.2">
      <c r="A37" t="s">
        <v>38</v>
      </c>
    </row>
    <row r="39" spans="1:10" x14ac:dyDescent="0.2">
      <c r="C39" s="1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topLeftCell="A16" workbookViewId="0">
      <selection activeCell="A28" sqref="A28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5" width="13.42578125" customWidth="1"/>
    <col min="6" max="6" width="12.28515625" customWidth="1"/>
    <col min="7" max="7" width="12.42578125" customWidth="1"/>
    <col min="8" max="8" width="12.5703125" customWidth="1"/>
    <col min="9" max="9" width="11.42578125" customWidth="1"/>
    <col min="10" max="10" width="11" customWidth="1"/>
  </cols>
  <sheetData>
    <row r="1" spans="1:14" x14ac:dyDescent="0.2">
      <c r="E1" s="36"/>
    </row>
    <row r="2" spans="1:14" x14ac:dyDescent="0.2">
      <c r="D2" t="s">
        <v>557</v>
      </c>
      <c r="E2" t="s">
        <v>555</v>
      </c>
      <c r="F2" t="s">
        <v>559</v>
      </c>
      <c r="G2" s="36" t="s">
        <v>352</v>
      </c>
      <c r="H2" t="s">
        <v>352</v>
      </c>
      <c r="I2" t="s">
        <v>414</v>
      </c>
    </row>
    <row r="3" spans="1:14" x14ac:dyDescent="0.2">
      <c r="D3" t="s">
        <v>558</v>
      </c>
      <c r="E3" s="36" t="s">
        <v>556</v>
      </c>
      <c r="F3" s="36" t="s">
        <v>560</v>
      </c>
      <c r="G3" s="36" t="s">
        <v>561</v>
      </c>
      <c r="H3" t="s">
        <v>563</v>
      </c>
      <c r="I3" t="s">
        <v>564</v>
      </c>
      <c r="L3" s="36"/>
      <c r="M3" s="36"/>
      <c r="N3" s="36"/>
    </row>
    <row r="4" spans="1:14" x14ac:dyDescent="0.2">
      <c r="C4" s="36" t="s">
        <v>426</v>
      </c>
      <c r="D4" s="45" t="s">
        <v>427</v>
      </c>
      <c r="E4" s="40">
        <v>4</v>
      </c>
      <c r="F4" s="45" t="s">
        <v>427</v>
      </c>
      <c r="G4" s="39" t="s">
        <v>562</v>
      </c>
      <c r="H4">
        <v>6</v>
      </c>
      <c r="I4">
        <v>8</v>
      </c>
      <c r="L4" s="36"/>
      <c r="M4" s="36"/>
      <c r="N4" s="36"/>
    </row>
    <row r="5" spans="1:14" x14ac:dyDescent="0.2">
      <c r="B5" t="s">
        <v>42</v>
      </c>
      <c r="D5">
        <f>1075+78</f>
        <v>1153</v>
      </c>
      <c r="E5">
        <f>713+78</f>
        <v>791</v>
      </c>
      <c r="F5">
        <f>1158+78</f>
        <v>1236</v>
      </c>
      <c r="G5" s="16">
        <v>980</v>
      </c>
      <c r="H5" s="16">
        <v>650</v>
      </c>
      <c r="I5">
        <v>995</v>
      </c>
      <c r="L5" s="35"/>
    </row>
    <row r="6" spans="1:14" x14ac:dyDescent="0.2">
      <c r="B6" t="s">
        <v>43</v>
      </c>
      <c r="D6">
        <f t="shared" ref="D6:I6" si="0">+D5*$A$29</f>
        <v>10377</v>
      </c>
      <c r="E6">
        <f t="shared" si="0"/>
        <v>7119</v>
      </c>
      <c r="F6">
        <f t="shared" si="0"/>
        <v>11124</v>
      </c>
      <c r="G6">
        <f t="shared" si="0"/>
        <v>8820</v>
      </c>
      <c r="H6">
        <f t="shared" si="0"/>
        <v>5850</v>
      </c>
      <c r="I6">
        <f t="shared" si="0"/>
        <v>8955</v>
      </c>
    </row>
    <row r="7" spans="1:14" x14ac:dyDescent="0.2">
      <c r="A7">
        <v>0</v>
      </c>
      <c r="B7" t="s">
        <v>403</v>
      </c>
      <c r="D7">
        <f>$A7*D6*-1</f>
        <v>0</v>
      </c>
      <c r="I7">
        <v>-895</v>
      </c>
    </row>
    <row r="8" spans="1:14" x14ac:dyDescent="0.2">
      <c r="A8">
        <v>0.05</v>
      </c>
      <c r="B8" t="s">
        <v>404</v>
      </c>
      <c r="D8">
        <v>0</v>
      </c>
      <c r="E8">
        <v>0</v>
      </c>
      <c r="F8">
        <v>0</v>
      </c>
      <c r="G8">
        <f>$A8*G6*-1</f>
        <v>-441</v>
      </c>
      <c r="H8">
        <f>$A8*H6*-1</f>
        <v>-292.5</v>
      </c>
      <c r="I8">
        <v>-403</v>
      </c>
    </row>
    <row r="9" spans="1:14" x14ac:dyDescent="0.2">
      <c r="B9" t="s">
        <v>45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</row>
    <row r="10" spans="1:14" x14ac:dyDescent="0.2">
      <c r="B10" t="s">
        <v>46</v>
      </c>
      <c r="D10">
        <f>53*$A$29</f>
        <v>477</v>
      </c>
      <c r="E10">
        <v>477</v>
      </c>
      <c r="F10">
        <v>504</v>
      </c>
      <c r="G10">
        <v>504</v>
      </c>
      <c r="H10">
        <v>504</v>
      </c>
      <c r="I10">
        <v>472</v>
      </c>
    </row>
    <row r="11" spans="1:14" x14ac:dyDescent="0.2">
      <c r="B11" t="s">
        <v>47</v>
      </c>
      <c r="D11">
        <v>170</v>
      </c>
      <c r="E11">
        <v>210</v>
      </c>
      <c r="F11">
        <v>210</v>
      </c>
      <c r="G11">
        <v>210</v>
      </c>
      <c r="H11">
        <v>210</v>
      </c>
      <c r="I11">
        <v>210</v>
      </c>
    </row>
    <row r="12" spans="1:14" x14ac:dyDescent="0.2">
      <c r="B12" t="s">
        <v>48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</row>
    <row r="13" spans="1:14" x14ac:dyDescent="0.2">
      <c r="B13" s="48" t="s">
        <v>577</v>
      </c>
      <c r="D13">
        <v>0</v>
      </c>
      <c r="E13">
        <v>0</v>
      </c>
      <c r="F13">
        <v>0</v>
      </c>
      <c r="G13">
        <v>0</v>
      </c>
      <c r="H13">
        <v>0</v>
      </c>
      <c r="I13">
        <v>128</v>
      </c>
    </row>
    <row r="14" spans="1:14" x14ac:dyDescent="0.2">
      <c r="B14" t="s">
        <v>50</v>
      </c>
      <c r="D14">
        <v>0</v>
      </c>
      <c r="E14">
        <f>95*E24</f>
        <v>0</v>
      </c>
      <c r="F14">
        <f>95*F24</f>
        <v>0</v>
      </c>
      <c r="G14">
        <f>95*G24</f>
        <v>0</v>
      </c>
      <c r="H14">
        <f>95*H24</f>
        <v>0</v>
      </c>
      <c r="I14">
        <f>95*I24</f>
        <v>0</v>
      </c>
    </row>
    <row r="15" spans="1:14" x14ac:dyDescent="0.2">
      <c r="B15" t="s">
        <v>51</v>
      </c>
      <c r="D15">
        <v>0</v>
      </c>
      <c r="E15">
        <v>0</v>
      </c>
      <c r="F15" s="36">
        <v>0</v>
      </c>
      <c r="G15" s="36">
        <v>0</v>
      </c>
      <c r="H15" s="36">
        <v>0</v>
      </c>
      <c r="I15" s="36"/>
    </row>
    <row r="16" spans="1:14" x14ac:dyDescent="0.2">
      <c r="B16" s="36" t="s">
        <v>416</v>
      </c>
      <c r="D16" s="36">
        <f t="shared" ref="D16:I16" si="1">25*$A$29</f>
        <v>225</v>
      </c>
      <c r="E16" s="36">
        <f t="shared" si="1"/>
        <v>225</v>
      </c>
      <c r="F16" s="36">
        <f t="shared" si="1"/>
        <v>225</v>
      </c>
      <c r="G16" s="36">
        <f t="shared" si="1"/>
        <v>225</v>
      </c>
      <c r="H16" s="36">
        <f t="shared" si="1"/>
        <v>225</v>
      </c>
      <c r="I16" s="36">
        <f t="shared" si="1"/>
        <v>225</v>
      </c>
    </row>
    <row r="17" spans="1:12" x14ac:dyDescent="0.2">
      <c r="B17" t="s">
        <v>52</v>
      </c>
      <c r="D17" s="13">
        <v>0</v>
      </c>
      <c r="E17" s="13">
        <v>40</v>
      </c>
      <c r="F17" s="13">
        <v>40</v>
      </c>
      <c r="G17" s="13">
        <v>40</v>
      </c>
      <c r="H17" s="13">
        <v>40</v>
      </c>
      <c r="I17" s="13">
        <v>50</v>
      </c>
    </row>
    <row r="18" spans="1:12" x14ac:dyDescent="0.2">
      <c r="B18" t="s">
        <v>54</v>
      </c>
      <c r="D18">
        <v>0</v>
      </c>
      <c r="E18">
        <f>E24*(45+5*5)</f>
        <v>0</v>
      </c>
      <c r="F18">
        <f>F24*(45+5*5)</f>
        <v>0</v>
      </c>
      <c r="G18">
        <f>G24*(45+5*5)</f>
        <v>0</v>
      </c>
      <c r="H18">
        <f>H24*(45+5*5)</f>
        <v>0</v>
      </c>
      <c r="I18">
        <f>I24*(45+5*5)</f>
        <v>0</v>
      </c>
      <c r="J18" s="36" t="s">
        <v>419</v>
      </c>
    </row>
    <row r="19" spans="1:12" x14ac:dyDescent="0.2">
      <c r="C19" t="s">
        <v>56</v>
      </c>
      <c r="D19" s="46">
        <f t="shared" ref="D19:I19" si="2">SUM(D6:D18)</f>
        <v>11249</v>
      </c>
      <c r="E19" s="46">
        <f t="shared" si="2"/>
        <v>8071</v>
      </c>
      <c r="F19" s="46">
        <f t="shared" si="2"/>
        <v>12103</v>
      </c>
      <c r="G19" s="46">
        <f t="shared" si="2"/>
        <v>9358</v>
      </c>
      <c r="H19" s="46">
        <f t="shared" si="2"/>
        <v>6536.5</v>
      </c>
      <c r="I19" s="46">
        <f t="shared" si="2"/>
        <v>8742</v>
      </c>
      <c r="J19" s="46">
        <v>8614</v>
      </c>
    </row>
    <row r="20" spans="1:12" x14ac:dyDescent="0.2">
      <c r="D20" s="23"/>
      <c r="E20" s="23"/>
      <c r="F20" s="23"/>
      <c r="G20" s="23"/>
      <c r="H20" s="23"/>
    </row>
    <row r="22" spans="1:12" x14ac:dyDescent="0.2">
      <c r="E22" t="s">
        <v>57</v>
      </c>
      <c r="H22" s="1">
        <f>J19/A27/A29</f>
        <v>119.63888888888889</v>
      </c>
      <c r="I22" s="1">
        <f>H22*2</f>
        <v>239.27777777777777</v>
      </c>
      <c r="J22" t="s">
        <v>58</v>
      </c>
    </row>
    <row r="24" spans="1:12" x14ac:dyDescent="0.2">
      <c r="A24" s="17" t="s">
        <v>59</v>
      </c>
      <c r="B24" s="17"/>
      <c r="C24" s="17"/>
      <c r="D24" s="17">
        <v>8</v>
      </c>
      <c r="E24" s="17"/>
      <c r="F24" s="17"/>
      <c r="G24" s="1"/>
      <c r="H24" s="1"/>
      <c r="I24" s="1"/>
    </row>
    <row r="25" spans="1:12" x14ac:dyDescent="0.2">
      <c r="A25" s="17"/>
      <c r="B25" s="17"/>
      <c r="C25" s="17" t="s">
        <v>61</v>
      </c>
      <c r="D25" s="22">
        <f>D19/D24</f>
        <v>1406.125</v>
      </c>
      <c r="E25" s="22"/>
      <c r="F25" s="22"/>
      <c r="G25" s="21"/>
      <c r="H25" s="1"/>
      <c r="I25" s="1"/>
      <c r="J25" s="36" t="s">
        <v>423</v>
      </c>
    </row>
    <row r="26" spans="1:12" x14ac:dyDescent="0.2">
      <c r="A26" s="17"/>
      <c r="B26" s="17"/>
      <c r="C26" s="17"/>
      <c r="D26" s="17"/>
      <c r="E26" s="17"/>
      <c r="F26" s="17"/>
      <c r="G26" s="21"/>
      <c r="H26" s="1"/>
      <c r="I26" s="1"/>
      <c r="J26">
        <v>1742</v>
      </c>
      <c r="K26" s="36" t="s">
        <v>566</v>
      </c>
    </row>
    <row r="27" spans="1:12" x14ac:dyDescent="0.2">
      <c r="A27" s="18">
        <v>8</v>
      </c>
      <c r="B27" s="18" t="s">
        <v>62</v>
      </c>
      <c r="C27" s="18"/>
      <c r="D27" s="18"/>
      <c r="E27" s="18"/>
      <c r="F27" s="18"/>
      <c r="G27" s="18"/>
      <c r="H27" s="18"/>
      <c r="J27">
        <v>1773</v>
      </c>
      <c r="K27" s="36" t="s">
        <v>567</v>
      </c>
    </row>
    <row r="28" spans="1:12" x14ac:dyDescent="0.2">
      <c r="A28" s="18">
        <v>0</v>
      </c>
      <c r="B28" s="38" t="s">
        <v>420</v>
      </c>
      <c r="C28" s="18"/>
      <c r="D28" s="18"/>
      <c r="E28" s="18"/>
      <c r="F28" s="18"/>
      <c r="G28" s="18"/>
      <c r="H28" s="18"/>
      <c r="J28">
        <v>1530</v>
      </c>
      <c r="K28" s="36" t="s">
        <v>568</v>
      </c>
    </row>
    <row r="29" spans="1:12" x14ac:dyDescent="0.2">
      <c r="A29" s="18">
        <v>9</v>
      </c>
      <c r="B29" s="38" t="s">
        <v>432</v>
      </c>
      <c r="C29" s="18"/>
      <c r="D29" s="18"/>
      <c r="E29" s="18"/>
      <c r="F29" s="18"/>
      <c r="G29" s="18"/>
      <c r="H29" s="18"/>
      <c r="J29">
        <v>1419</v>
      </c>
      <c r="K29" t="s">
        <v>569</v>
      </c>
    </row>
    <row r="30" spans="1:12" x14ac:dyDescent="0.2">
      <c r="A30" s="18"/>
      <c r="B30" s="18"/>
      <c r="C30" s="18"/>
      <c r="D30" s="18"/>
      <c r="E30" s="18"/>
      <c r="F30" s="18"/>
      <c r="G30" s="18"/>
      <c r="H30" s="18"/>
      <c r="I30" t="s">
        <v>575</v>
      </c>
      <c r="J30" s="47">
        <v>1762</v>
      </c>
      <c r="K30" s="47" t="s">
        <v>576</v>
      </c>
      <c r="L30" s="47"/>
    </row>
    <row r="31" spans="1:12" x14ac:dyDescent="0.2">
      <c r="A31" s="18"/>
      <c r="B31" s="18"/>
      <c r="C31" s="18"/>
      <c r="D31" s="18"/>
      <c r="E31" s="18"/>
      <c r="F31" s="18"/>
      <c r="G31" s="38" t="s">
        <v>565</v>
      </c>
      <c r="H31" s="18"/>
    </row>
    <row r="32" spans="1:12" x14ac:dyDescent="0.2">
      <c r="A32" s="18" t="s">
        <v>66</v>
      </c>
      <c r="B32" s="18"/>
      <c r="C32" s="19"/>
      <c r="D32" s="19"/>
      <c r="E32" s="18" t="s">
        <v>55</v>
      </c>
      <c r="F32" s="19"/>
      <c r="G32" s="19">
        <f>$J$19/$A$27</f>
        <v>1076.75</v>
      </c>
      <c r="H32" s="19"/>
      <c r="I32" s="1"/>
      <c r="J32" t="s">
        <v>570</v>
      </c>
    </row>
    <row r="33" spans="1:12" x14ac:dyDescent="0.2">
      <c r="A33" s="18" t="s">
        <v>67</v>
      </c>
      <c r="B33" s="18"/>
      <c r="C33" s="19" t="s">
        <v>68</v>
      </c>
      <c r="D33" s="19">
        <v>45</v>
      </c>
      <c r="E33" s="20" t="s">
        <v>405</v>
      </c>
      <c r="F33" s="19"/>
      <c r="G33" s="19">
        <f>D33*$A$29</f>
        <v>405</v>
      </c>
      <c r="H33" s="19"/>
      <c r="I33" s="1"/>
      <c r="J33">
        <v>1458</v>
      </c>
      <c r="K33" t="s">
        <v>571</v>
      </c>
    </row>
    <row r="34" spans="1:12" x14ac:dyDescent="0.2">
      <c r="A34" s="18"/>
      <c r="B34" s="18" t="s">
        <v>69</v>
      </c>
      <c r="C34" s="19" t="s">
        <v>68</v>
      </c>
      <c r="D34" s="19"/>
      <c r="E34" s="18"/>
      <c r="F34" s="19"/>
      <c r="G34" s="19">
        <f>D34*$A$29</f>
        <v>0</v>
      </c>
      <c r="H34" s="19"/>
      <c r="I34" s="1" t="s">
        <v>575</v>
      </c>
      <c r="J34" s="47">
        <v>2121</v>
      </c>
      <c r="K34" s="47" t="s">
        <v>574</v>
      </c>
      <c r="L34" s="47"/>
    </row>
    <row r="35" spans="1:12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12" x14ac:dyDescent="0.2">
      <c r="A36" s="18" t="s">
        <v>70</v>
      </c>
      <c r="B36" s="18"/>
      <c r="C36" s="19" t="s">
        <v>71</v>
      </c>
      <c r="D36" s="19">
        <v>200</v>
      </c>
      <c r="E36" s="18"/>
      <c r="F36" s="19"/>
      <c r="G36" s="19">
        <f>D36</f>
        <v>200</v>
      </c>
      <c r="H36" s="19"/>
      <c r="I36" s="1"/>
      <c r="J36" t="s">
        <v>572</v>
      </c>
    </row>
    <row r="37" spans="1:12" x14ac:dyDescent="0.2">
      <c r="A37" s="18" t="s">
        <v>72</v>
      </c>
      <c r="B37" s="18"/>
      <c r="C37" s="19"/>
      <c r="D37" s="19"/>
      <c r="E37" s="18"/>
      <c r="F37" s="19"/>
      <c r="G37" s="19">
        <v>80</v>
      </c>
      <c r="H37" s="19"/>
      <c r="I37" s="1"/>
      <c r="J37">
        <v>1942</v>
      </c>
      <c r="K37" t="s">
        <v>571</v>
      </c>
    </row>
    <row r="38" spans="1:12" x14ac:dyDescent="0.2">
      <c r="A38" s="18"/>
      <c r="B38" s="18"/>
      <c r="C38" s="19"/>
      <c r="D38" s="19"/>
      <c r="E38" s="18"/>
      <c r="F38" s="19"/>
      <c r="G38" s="19"/>
      <c r="H38" s="19"/>
      <c r="I38" s="1"/>
      <c r="J38">
        <v>2204</v>
      </c>
      <c r="K38" t="s">
        <v>573</v>
      </c>
    </row>
    <row r="39" spans="1:12" x14ac:dyDescent="0.2">
      <c r="A39" s="18"/>
      <c r="B39" s="18"/>
      <c r="C39" s="19"/>
      <c r="D39" s="19"/>
      <c r="E39" s="18" t="s">
        <v>73</v>
      </c>
      <c r="F39" s="19"/>
      <c r="G39" s="19">
        <f>SUM(G32:G38)</f>
        <v>1761.75</v>
      </c>
      <c r="H39" s="19"/>
      <c r="I39" s="1"/>
      <c r="J39" s="36"/>
    </row>
    <row r="40" spans="1:12" x14ac:dyDescent="0.2">
      <c r="C40" s="1"/>
      <c r="D40" s="1"/>
      <c r="F40" s="1"/>
      <c r="G40" s="1"/>
      <c r="H40" s="1"/>
      <c r="I40" s="1"/>
    </row>
    <row r="41" spans="1:12" x14ac:dyDescent="0.2">
      <c r="C41" s="1"/>
      <c r="D41" s="1"/>
      <c r="E41" s="1"/>
      <c r="G41" s="1"/>
      <c r="H41" s="1"/>
      <c r="I41" s="1"/>
    </row>
    <row r="42" spans="1:12" x14ac:dyDescent="0.2">
      <c r="C42" s="1"/>
      <c r="D42" s="1"/>
      <c r="E42" s="1"/>
      <c r="G42" s="23"/>
      <c r="H42" s="1"/>
      <c r="I42" s="1"/>
    </row>
    <row r="47" spans="1:12" x14ac:dyDescent="0.2">
      <c r="D47" t="s">
        <v>105</v>
      </c>
      <c r="E47" t="s">
        <v>2</v>
      </c>
      <c r="F47" t="s">
        <v>4</v>
      </c>
      <c r="K47" t="s">
        <v>138</v>
      </c>
    </row>
    <row r="48" spans="1:12" x14ac:dyDescent="0.2">
      <c r="D48" t="s">
        <v>139</v>
      </c>
      <c r="E48" t="s">
        <v>140</v>
      </c>
      <c r="F48" t="s">
        <v>141</v>
      </c>
    </row>
    <row r="49" spans="1:11" x14ac:dyDescent="0.2">
      <c r="B49" t="s">
        <v>42</v>
      </c>
      <c r="D49">
        <v>530</v>
      </c>
      <c r="E49">
        <v>845</v>
      </c>
      <c r="F49">
        <v>890</v>
      </c>
      <c r="G49" s="16"/>
      <c r="K49">
        <v>279.5</v>
      </c>
    </row>
    <row r="50" spans="1:11" x14ac:dyDescent="0.2">
      <c r="B50" t="s">
        <v>43</v>
      </c>
      <c r="D50">
        <f>D49*$A71</f>
        <v>3710</v>
      </c>
      <c r="E50">
        <f>E49*$A71</f>
        <v>5915</v>
      </c>
      <c r="F50">
        <f>F49*$A71</f>
        <v>6230</v>
      </c>
      <c r="K50">
        <f>K49*$A71</f>
        <v>1956.5</v>
      </c>
    </row>
    <row r="51" spans="1:11" x14ac:dyDescent="0.2">
      <c r="A51">
        <v>0.05</v>
      </c>
      <c r="B51" t="s">
        <v>44</v>
      </c>
      <c r="D51">
        <f>$A51*D50*-1</f>
        <v>-185.5</v>
      </c>
      <c r="E51">
        <f>$A51*E50*-1</f>
        <v>-295.75</v>
      </c>
      <c r="F51">
        <v>0</v>
      </c>
      <c r="K51" s="13" t="s">
        <v>142</v>
      </c>
    </row>
    <row r="52" spans="1:11" x14ac:dyDescent="0.2">
      <c r="A52">
        <v>0.7</v>
      </c>
      <c r="B52" t="s">
        <v>45</v>
      </c>
      <c r="D52">
        <f>$A52*D49</f>
        <v>371</v>
      </c>
      <c r="E52">
        <f>$A52*E49</f>
        <v>591.5</v>
      </c>
      <c r="F52">
        <f>$A52*F49</f>
        <v>623</v>
      </c>
      <c r="K52">
        <f>K49</f>
        <v>279.5</v>
      </c>
    </row>
    <row r="53" spans="1:11" x14ac:dyDescent="0.2">
      <c r="B53" t="s">
        <v>46</v>
      </c>
      <c r="D53">
        <v>264</v>
      </c>
      <c r="E53">
        <v>304</v>
      </c>
      <c r="F53">
        <v>304</v>
      </c>
      <c r="K53">
        <v>264</v>
      </c>
    </row>
    <row r="54" spans="1:11" x14ac:dyDescent="0.2">
      <c r="B54" t="s">
        <v>47</v>
      </c>
      <c r="D54">
        <v>0</v>
      </c>
      <c r="E54">
        <v>0</v>
      </c>
      <c r="F54">
        <v>0</v>
      </c>
      <c r="K54" s="13" t="s">
        <v>142</v>
      </c>
    </row>
    <row r="55" spans="1:11" x14ac:dyDescent="0.2">
      <c r="B55" t="s">
        <v>48</v>
      </c>
      <c r="D55">
        <v>100</v>
      </c>
      <c r="E55">
        <v>100</v>
      </c>
      <c r="F55">
        <v>94</v>
      </c>
      <c r="H55">
        <f>3525/0.65</f>
        <v>5423.0769230769229</v>
      </c>
      <c r="K55">
        <f>2*6*10</f>
        <v>120</v>
      </c>
    </row>
    <row r="56" spans="1:11" x14ac:dyDescent="0.2">
      <c r="B56" t="s">
        <v>143</v>
      </c>
      <c r="D56">
        <f>3440-1204</f>
        <v>2236</v>
      </c>
    </row>
    <row r="57" spans="1:11" x14ac:dyDescent="0.2">
      <c r="B57" t="s">
        <v>50</v>
      </c>
      <c r="D57" t="s">
        <v>144</v>
      </c>
      <c r="K57">
        <v>0</v>
      </c>
    </row>
    <row r="58" spans="1:11" x14ac:dyDescent="0.2">
      <c r="B58" t="s">
        <v>51</v>
      </c>
      <c r="D58">
        <v>0</v>
      </c>
      <c r="E58">
        <v>175</v>
      </c>
      <c r="F58">
        <v>175</v>
      </c>
      <c r="K58">
        <v>0</v>
      </c>
    </row>
    <row r="59" spans="1:11" x14ac:dyDescent="0.2">
      <c r="B59" t="s">
        <v>52</v>
      </c>
      <c r="D59">
        <v>0</v>
      </c>
      <c r="E59">
        <v>0</v>
      </c>
      <c r="F59">
        <v>0</v>
      </c>
      <c r="K59" s="13" t="s">
        <v>142</v>
      </c>
    </row>
    <row r="60" spans="1:11" x14ac:dyDescent="0.2">
      <c r="B60" t="s">
        <v>54</v>
      </c>
      <c r="D60">
        <v>0</v>
      </c>
      <c r="F60">
        <f>10*F66</f>
        <v>80</v>
      </c>
      <c r="G60" t="s">
        <v>145</v>
      </c>
      <c r="H60" t="s">
        <v>55</v>
      </c>
      <c r="K60">
        <v>0</v>
      </c>
    </row>
    <row r="61" spans="1:11" x14ac:dyDescent="0.2">
      <c r="C61" t="s">
        <v>56</v>
      </c>
      <c r="D61" s="23">
        <f>SUM(D53:D60)</f>
        <v>2600</v>
      </c>
      <c r="E61" s="23">
        <f>SUM(E50:E60)</f>
        <v>6789.75</v>
      </c>
      <c r="F61" s="23">
        <f>SUM(F50:F60)</f>
        <v>7506</v>
      </c>
      <c r="G61" s="23">
        <f>G63</f>
        <v>1084.6153846153845</v>
      </c>
      <c r="H61" s="23">
        <f>E61+D61+F61+G61</f>
        <v>17980.365384615383</v>
      </c>
      <c r="K61" s="23">
        <f>SUM(K50:K60)</f>
        <v>2620</v>
      </c>
    </row>
    <row r="62" spans="1:11" x14ac:dyDescent="0.2">
      <c r="C62" t="s">
        <v>146</v>
      </c>
      <c r="D62" s="23">
        <f>D61-G63</f>
        <v>1515.3846153846155</v>
      </c>
      <c r="E62" s="23"/>
      <c r="F62" s="23"/>
      <c r="G62" s="23"/>
      <c r="H62" s="23"/>
      <c r="K62" s="23"/>
    </row>
    <row r="63" spans="1:11" x14ac:dyDescent="0.2">
      <c r="D63" t="s">
        <v>147</v>
      </c>
      <c r="G63">
        <f>(3525/(1-0.35))*0.3*4/6</f>
        <v>1084.6153846153845</v>
      </c>
      <c r="H63" t="s">
        <v>148</v>
      </c>
      <c r="I63">
        <f>G63/4</f>
        <v>271.15384615384613</v>
      </c>
    </row>
    <row r="64" spans="1:11" x14ac:dyDescent="0.2">
      <c r="E64" t="s">
        <v>57</v>
      </c>
      <c r="H64" s="1">
        <f>H61/A69/A71</f>
        <v>107.02598443223442</v>
      </c>
      <c r="I64" s="1">
        <f>H64*2</f>
        <v>214.05196886446885</v>
      </c>
      <c r="J64" t="s">
        <v>58</v>
      </c>
    </row>
    <row r="66" spans="1:11" x14ac:dyDescent="0.2">
      <c r="A66" s="17" t="s">
        <v>59</v>
      </c>
      <c r="B66" s="17"/>
      <c r="C66" s="17" t="s">
        <v>60</v>
      </c>
      <c r="D66" s="17">
        <v>5</v>
      </c>
      <c r="E66" s="17">
        <v>10</v>
      </c>
      <c r="F66" s="17">
        <v>8</v>
      </c>
      <c r="G66" s="1"/>
      <c r="H66" s="1"/>
      <c r="I66" s="1"/>
    </row>
    <row r="67" spans="1:11" x14ac:dyDescent="0.2">
      <c r="A67" s="17"/>
      <c r="B67" s="17"/>
      <c r="C67" s="17" t="s">
        <v>61</v>
      </c>
      <c r="D67" s="22">
        <f>D61/D66</f>
        <v>520</v>
      </c>
      <c r="E67" s="22">
        <f>E61/E66</f>
        <v>678.97500000000002</v>
      </c>
      <c r="F67" s="22">
        <f>F61/F66</f>
        <v>938.25</v>
      </c>
      <c r="G67" s="21" t="s">
        <v>149</v>
      </c>
      <c r="H67" s="1"/>
      <c r="I67" s="1"/>
    </row>
    <row r="68" spans="1:11" x14ac:dyDescent="0.2">
      <c r="A68" s="17"/>
      <c r="B68" s="17"/>
      <c r="C68" s="17"/>
      <c r="D68" s="17"/>
      <c r="E68" s="17"/>
      <c r="F68" s="17"/>
      <c r="G68" s="21"/>
      <c r="H68" s="1"/>
      <c r="I68" s="1"/>
    </row>
    <row r="69" spans="1:11" x14ac:dyDescent="0.2">
      <c r="A69" s="18">
        <v>24</v>
      </c>
      <c r="B69" s="18" t="s">
        <v>62</v>
      </c>
      <c r="C69" s="18"/>
      <c r="D69" s="18"/>
      <c r="E69" s="18"/>
      <c r="F69" s="18"/>
      <c r="G69" s="18"/>
      <c r="H69" s="18"/>
    </row>
    <row r="70" spans="1:11" x14ac:dyDescent="0.2">
      <c r="A70" s="18">
        <v>4</v>
      </c>
      <c r="B70" s="18" t="s">
        <v>63</v>
      </c>
      <c r="C70" s="18"/>
      <c r="D70" s="18"/>
      <c r="E70" s="18"/>
      <c r="F70" s="18"/>
      <c r="G70" s="18"/>
      <c r="H70" s="18"/>
    </row>
    <row r="71" spans="1:11" x14ac:dyDescent="0.2">
      <c r="A71" s="18">
        <v>7</v>
      </c>
      <c r="B71" s="18" t="s">
        <v>64</v>
      </c>
      <c r="C71" s="18"/>
      <c r="D71" s="18"/>
      <c r="E71" s="18"/>
      <c r="F71" s="18"/>
      <c r="G71" s="18"/>
      <c r="H71" s="18"/>
    </row>
    <row r="72" spans="1:11" x14ac:dyDescent="0.2">
      <c r="A72" s="18"/>
      <c r="B72" s="18"/>
      <c r="C72" s="18"/>
      <c r="D72" s="18"/>
      <c r="E72" s="18"/>
      <c r="F72" s="18"/>
      <c r="G72" s="18"/>
      <c r="H72" s="18"/>
      <c r="K72">
        <f>1660/6</f>
        <v>276.66666666666669</v>
      </c>
    </row>
    <row r="73" spans="1:11" x14ac:dyDescent="0.2">
      <c r="A73" s="18"/>
      <c r="B73" s="18"/>
      <c r="C73" s="18"/>
      <c r="D73" s="18"/>
      <c r="E73" s="18"/>
      <c r="F73" s="18"/>
      <c r="G73" s="18" t="s">
        <v>65</v>
      </c>
      <c r="H73" s="18" t="s">
        <v>150</v>
      </c>
    </row>
    <row r="74" spans="1:11" x14ac:dyDescent="0.2">
      <c r="A74" s="18" t="s">
        <v>66</v>
      </c>
      <c r="B74" s="18"/>
      <c r="C74" s="19"/>
      <c r="D74" s="19"/>
      <c r="E74" s="18" t="s">
        <v>55</v>
      </c>
      <c r="F74" s="19"/>
      <c r="G74" s="19" t="e">
        <f>$J$18/$A$26</f>
        <v>#VALUE!</v>
      </c>
      <c r="H74" s="19" t="e">
        <f>$J$18/$A$26</f>
        <v>#VALUE!</v>
      </c>
      <c r="I74" s="1"/>
      <c r="K74">
        <f>196+20+200</f>
        <v>416</v>
      </c>
    </row>
    <row r="75" spans="1:11" x14ac:dyDescent="0.2">
      <c r="A75" s="18" t="s">
        <v>151</v>
      </c>
      <c r="B75" s="18"/>
      <c r="C75" s="19" t="s">
        <v>68</v>
      </c>
      <c r="D75" s="19">
        <v>28</v>
      </c>
      <c r="E75" s="20"/>
      <c r="F75" s="19"/>
      <c r="G75" s="19">
        <f>D75*$A$28</f>
        <v>0</v>
      </c>
      <c r="H75" s="19">
        <f>D75*$A$28/2</f>
        <v>0</v>
      </c>
      <c r="I75" s="1"/>
      <c r="K75">
        <f>E50+E51</f>
        <v>5619.25</v>
      </c>
    </row>
    <row r="76" spans="1:11" x14ac:dyDescent="0.2">
      <c r="A76" s="18"/>
      <c r="B76" s="18" t="s">
        <v>69</v>
      </c>
      <c r="C76" s="19" t="s">
        <v>68</v>
      </c>
      <c r="D76" s="19">
        <f>D75*0.1</f>
        <v>2.8000000000000003</v>
      </c>
      <c r="E76" s="18"/>
      <c r="F76" s="19"/>
      <c r="G76" s="19">
        <f>D76*$A$28</f>
        <v>0</v>
      </c>
      <c r="H76" s="19">
        <f>D76*$A$28/2</f>
        <v>0</v>
      </c>
      <c r="I76" s="1"/>
    </row>
    <row r="77" spans="1:11" x14ac:dyDescent="0.2">
      <c r="A77" s="18"/>
      <c r="B77" s="18"/>
      <c r="C77" s="19"/>
      <c r="D77" s="19"/>
      <c r="E77" s="18"/>
      <c r="F77" s="19"/>
      <c r="G77" s="19"/>
      <c r="H77" s="19"/>
      <c r="I77" s="1"/>
    </row>
    <row r="78" spans="1:11" x14ac:dyDescent="0.2">
      <c r="A78" s="18" t="s">
        <v>70</v>
      </c>
      <c r="B78" s="18"/>
      <c r="C78" s="19" t="s">
        <v>71</v>
      </c>
      <c r="D78" s="19">
        <v>200</v>
      </c>
      <c r="E78" s="18"/>
      <c r="F78" s="19"/>
      <c r="G78" s="19">
        <f>D78</f>
        <v>200</v>
      </c>
      <c r="H78" s="19">
        <v>30</v>
      </c>
      <c r="I78" s="1"/>
    </row>
    <row r="79" spans="1:11" x14ac:dyDescent="0.2">
      <c r="A79" s="18" t="s">
        <v>72</v>
      </c>
      <c r="B79" s="18"/>
      <c r="C79" s="19"/>
      <c r="D79" s="19">
        <v>0</v>
      </c>
      <c r="E79" s="18"/>
      <c r="F79" s="19"/>
      <c r="G79" s="19">
        <v>0</v>
      </c>
      <c r="H79" s="19">
        <v>0</v>
      </c>
      <c r="I79" s="1"/>
    </row>
    <row r="80" spans="1:11" x14ac:dyDescent="0.2">
      <c r="A80" s="18"/>
      <c r="B80" s="18"/>
      <c r="C80" s="19"/>
      <c r="D80" s="19"/>
      <c r="E80" s="18"/>
      <c r="F80" s="19"/>
      <c r="G80" s="19"/>
      <c r="H80" s="19"/>
      <c r="I80" s="1"/>
    </row>
    <row r="81" spans="1:9" x14ac:dyDescent="0.2">
      <c r="A81" s="18"/>
      <c r="B81" s="18"/>
      <c r="C81" s="19"/>
      <c r="D81" s="19"/>
      <c r="E81" s="18" t="s">
        <v>73</v>
      </c>
      <c r="F81" s="19"/>
      <c r="G81" s="19" t="e">
        <f>SUM(G74:G80)</f>
        <v>#VALUE!</v>
      </c>
      <c r="H81" s="19" t="e">
        <f>SUM(H74:H80)</f>
        <v>#VALUE!</v>
      </c>
      <c r="I81" s="1" t="e">
        <f>G81-H81</f>
        <v>#VALUE!</v>
      </c>
    </row>
    <row r="82" spans="1:9" x14ac:dyDescent="0.2">
      <c r="C82" s="1"/>
      <c r="D82" s="1"/>
      <c r="F82" s="1"/>
      <c r="G82" s="1"/>
      <c r="H82" s="1"/>
      <c r="I82" s="1"/>
    </row>
    <row r="83" spans="1:9" x14ac:dyDescent="0.2">
      <c r="A83" t="s">
        <v>152</v>
      </c>
      <c r="C83" s="1"/>
      <c r="D83" s="1"/>
      <c r="E83" s="1"/>
      <c r="F83" t="s">
        <v>153</v>
      </c>
      <c r="G83" s="1"/>
      <c r="H83" s="1"/>
      <c r="I83" s="1"/>
    </row>
    <row r="84" spans="1:9" x14ac:dyDescent="0.2">
      <c r="A84" t="s">
        <v>154</v>
      </c>
      <c r="C84" s="1"/>
      <c r="D84" s="1"/>
      <c r="E84" s="1"/>
      <c r="G84" s="23">
        <f>(D52+E52+F52)/A69</f>
        <v>66.0625</v>
      </c>
      <c r="H84" s="1"/>
      <c r="I84" s="1"/>
    </row>
    <row r="85" spans="1:9" x14ac:dyDescent="0.2">
      <c r="A85" t="s">
        <v>155</v>
      </c>
      <c r="C85" s="1"/>
      <c r="D85" s="1"/>
      <c r="E85" s="1"/>
      <c r="F85" s="1"/>
      <c r="G85" s="1"/>
      <c r="H85" s="1"/>
      <c r="I85" s="1"/>
    </row>
    <row r="86" spans="1:9" x14ac:dyDescent="0.2">
      <c r="C86" s="1"/>
      <c r="D86" s="1"/>
      <c r="E86" s="1"/>
      <c r="F86" s="1"/>
      <c r="G86" s="1"/>
      <c r="H86" s="1"/>
      <c r="I86" s="1"/>
    </row>
    <row r="87" spans="1:9" x14ac:dyDescent="0.2">
      <c r="C87" s="1"/>
      <c r="D87" s="1"/>
      <c r="E87" s="1"/>
      <c r="F87" s="1"/>
      <c r="G87" s="1"/>
      <c r="H87" s="1"/>
      <c r="I87" s="1"/>
    </row>
    <row r="88" spans="1:9" x14ac:dyDescent="0.2">
      <c r="C88" s="1"/>
      <c r="D88" s="1"/>
      <c r="E88" s="1"/>
      <c r="F88" s="1"/>
      <c r="G88" s="1"/>
      <c r="H88" s="1"/>
      <c r="I88" s="1"/>
    </row>
    <row r="89" spans="1:9" x14ac:dyDescent="0.2">
      <c r="C89" s="1"/>
      <c r="D89" s="1"/>
      <c r="E89" s="1"/>
      <c r="F89" s="1"/>
      <c r="G89" s="1"/>
      <c r="H89" s="1"/>
      <c r="I89" s="1"/>
    </row>
    <row r="90" spans="1:9" x14ac:dyDescent="0.2">
      <c r="C90" s="1"/>
      <c r="D90" s="1"/>
      <c r="E90" s="1"/>
      <c r="F90" s="1"/>
      <c r="G90" s="1"/>
      <c r="H90" s="1"/>
      <c r="I90" s="1"/>
    </row>
    <row r="91" spans="1:9" x14ac:dyDescent="0.2">
      <c r="C91" s="1"/>
      <c r="D91" s="1"/>
      <c r="E91" s="1"/>
      <c r="F91" s="1"/>
      <c r="G91" s="1"/>
      <c r="H91" s="1"/>
      <c r="I91" s="1"/>
    </row>
    <row r="92" spans="1:9" x14ac:dyDescent="0.2">
      <c r="C92" s="1"/>
      <c r="D92" s="1"/>
      <c r="E92" s="1"/>
      <c r="F92" s="1"/>
      <c r="G92" s="1"/>
      <c r="H92" s="1"/>
      <c r="I92" s="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workbookViewId="0">
      <selection sqref="A1:IV65536"/>
    </sheetView>
  </sheetViews>
  <sheetFormatPr defaultRowHeight="12.75" x14ac:dyDescent="0.2"/>
  <cols>
    <col min="1" max="1" width="9.140625" style="43"/>
    <col min="4" max="4" width="42.7109375" bestFit="1" customWidth="1"/>
    <col min="5" max="5" width="2.7109375" customWidth="1"/>
  </cols>
  <sheetData>
    <row r="1" spans="1:6" x14ac:dyDescent="0.2">
      <c r="A1"/>
      <c r="F1" s="41" t="s">
        <v>433</v>
      </c>
    </row>
    <row r="2" spans="1:6" ht="15" x14ac:dyDescent="0.3">
      <c r="A2" s="42" t="s">
        <v>434</v>
      </c>
      <c r="B2" t="s">
        <v>435</v>
      </c>
      <c r="D2" s="41" t="s">
        <v>436</v>
      </c>
      <c r="F2" s="41" t="s">
        <v>437</v>
      </c>
    </row>
    <row r="4" spans="1:6" ht="15" x14ac:dyDescent="0.3">
      <c r="A4" s="42" t="s">
        <v>438</v>
      </c>
      <c r="F4" s="42" t="s">
        <v>438</v>
      </c>
    </row>
    <row r="5" spans="1:6" ht="15" x14ac:dyDescent="0.3">
      <c r="A5" s="43">
        <v>751</v>
      </c>
      <c r="B5" t="s">
        <v>439</v>
      </c>
      <c r="C5" t="s">
        <v>440</v>
      </c>
      <c r="D5" s="41" t="s">
        <v>441</v>
      </c>
      <c r="F5" s="42" t="s">
        <v>442</v>
      </c>
    </row>
    <row r="6" spans="1:6" ht="15" x14ac:dyDescent="0.3">
      <c r="F6" s="44" t="s">
        <v>443</v>
      </c>
    </row>
    <row r="7" spans="1:6" ht="15" x14ac:dyDescent="0.3">
      <c r="A7" s="42" t="s">
        <v>444</v>
      </c>
      <c r="F7" s="44" t="s">
        <v>445</v>
      </c>
    </row>
    <row r="8" spans="1:6" ht="15" x14ac:dyDescent="0.3">
      <c r="A8" s="43">
        <v>617</v>
      </c>
      <c r="B8" t="s">
        <v>439</v>
      </c>
      <c r="C8" t="s">
        <v>446</v>
      </c>
      <c r="D8" s="41" t="s">
        <v>447</v>
      </c>
      <c r="F8" s="44" t="s">
        <v>448</v>
      </c>
    </row>
    <row r="9" spans="1:6" ht="15" x14ac:dyDescent="0.3">
      <c r="A9" s="42" t="s">
        <v>449</v>
      </c>
      <c r="F9" s="44" t="s">
        <v>450</v>
      </c>
    </row>
    <row r="10" spans="1:6" ht="15" x14ac:dyDescent="0.3">
      <c r="A10" s="43" t="s">
        <v>451</v>
      </c>
      <c r="C10" t="s">
        <v>452</v>
      </c>
      <c r="D10" t="s">
        <v>453</v>
      </c>
      <c r="F10" s="44" t="s">
        <v>454</v>
      </c>
    </row>
    <row r="11" spans="1:6" ht="15" x14ac:dyDescent="0.3">
      <c r="A11" s="43" t="s">
        <v>451</v>
      </c>
      <c r="C11" t="s">
        <v>455</v>
      </c>
      <c r="F11" s="42"/>
    </row>
    <row r="12" spans="1:6" ht="15" x14ac:dyDescent="0.3">
      <c r="F12" s="42" t="s">
        <v>444</v>
      </c>
    </row>
    <row r="13" spans="1:6" ht="15" x14ac:dyDescent="0.3">
      <c r="A13" s="42" t="s">
        <v>456</v>
      </c>
      <c r="F13" s="44" t="s">
        <v>457</v>
      </c>
    </row>
    <row r="14" spans="1:6" ht="15" x14ac:dyDescent="0.3">
      <c r="A14" s="43">
        <v>981</v>
      </c>
      <c r="B14" t="s">
        <v>439</v>
      </c>
      <c r="C14" t="s">
        <v>458</v>
      </c>
      <c r="D14" t="s">
        <v>459</v>
      </c>
      <c r="F14" s="44" t="s">
        <v>460</v>
      </c>
    </row>
    <row r="15" spans="1:6" ht="15" x14ac:dyDescent="0.3">
      <c r="A15" s="43">
        <v>545</v>
      </c>
      <c r="B15" t="s">
        <v>439</v>
      </c>
      <c r="C15" t="s">
        <v>461</v>
      </c>
      <c r="D15" s="41" t="s">
        <v>462</v>
      </c>
      <c r="F15" s="44" t="s">
        <v>463</v>
      </c>
    </row>
    <row r="16" spans="1:6" ht="15" x14ac:dyDescent="0.3">
      <c r="A16" s="43">
        <v>547</v>
      </c>
      <c r="B16" t="s">
        <v>439</v>
      </c>
      <c r="C16" t="s">
        <v>464</v>
      </c>
      <c r="D16" t="s">
        <v>465</v>
      </c>
      <c r="F16" s="44" t="s">
        <v>466</v>
      </c>
    </row>
    <row r="17" spans="1:6" ht="15" x14ac:dyDescent="0.3">
      <c r="F17" s="44" t="s">
        <v>467</v>
      </c>
    </row>
    <row r="18" spans="1:6" ht="15" x14ac:dyDescent="0.3">
      <c r="A18" s="42" t="s">
        <v>468</v>
      </c>
      <c r="F18" s="44" t="s">
        <v>469</v>
      </c>
    </row>
    <row r="19" spans="1:6" ht="15" x14ac:dyDescent="0.3">
      <c r="A19" s="43">
        <v>829</v>
      </c>
      <c r="B19" t="s">
        <v>439</v>
      </c>
      <c r="C19" t="s">
        <v>470</v>
      </c>
      <c r="D19" s="41" t="s">
        <v>471</v>
      </c>
      <c r="F19" s="42" t="s">
        <v>472</v>
      </c>
    </row>
    <row r="20" spans="1:6" x14ac:dyDescent="0.2">
      <c r="A20" s="43">
        <v>1477</v>
      </c>
      <c r="B20" t="s">
        <v>439</v>
      </c>
      <c r="C20" t="s">
        <v>473</v>
      </c>
      <c r="D20" s="41" t="s">
        <v>474</v>
      </c>
    </row>
    <row r="22" spans="1:6" ht="15" x14ac:dyDescent="0.3">
      <c r="A22" s="42" t="s">
        <v>475</v>
      </c>
      <c r="F22" s="42" t="s">
        <v>449</v>
      </c>
    </row>
    <row r="23" spans="1:6" ht="15" x14ac:dyDescent="0.3">
      <c r="A23" s="43">
        <v>600</v>
      </c>
      <c r="B23" t="s">
        <v>439</v>
      </c>
      <c r="C23" t="s">
        <v>476</v>
      </c>
      <c r="D23" s="41" t="s">
        <v>477</v>
      </c>
      <c r="F23" s="42" t="s">
        <v>478</v>
      </c>
    </row>
    <row r="24" spans="1:6" ht="15" x14ac:dyDescent="0.3">
      <c r="F24" s="44" t="s">
        <v>479</v>
      </c>
    </row>
    <row r="25" spans="1:6" ht="15" x14ac:dyDescent="0.3">
      <c r="A25" s="42" t="s">
        <v>480</v>
      </c>
      <c r="F25" s="44" t="s">
        <v>481</v>
      </c>
    </row>
    <row r="26" spans="1:6" ht="15" x14ac:dyDescent="0.3">
      <c r="A26" s="43">
        <v>1241</v>
      </c>
      <c r="B26" t="s">
        <v>439</v>
      </c>
      <c r="C26" t="s">
        <v>482</v>
      </c>
      <c r="D26" t="s">
        <v>483</v>
      </c>
      <c r="F26" s="44" t="s">
        <v>484</v>
      </c>
    </row>
    <row r="27" spans="1:6" ht="15" x14ac:dyDescent="0.3">
      <c r="A27" s="43">
        <v>1400</v>
      </c>
      <c r="B27" t="s">
        <v>439</v>
      </c>
      <c r="C27" t="s">
        <v>485</v>
      </c>
      <c r="D27" t="s">
        <v>486</v>
      </c>
      <c r="F27" s="44" t="s">
        <v>487</v>
      </c>
    </row>
    <row r="28" spans="1:6" ht="15" x14ac:dyDescent="0.3">
      <c r="A28" s="43">
        <v>1805</v>
      </c>
      <c r="B28" t="s">
        <v>439</v>
      </c>
      <c r="C28" t="s">
        <v>488</v>
      </c>
      <c r="D28" t="s">
        <v>132</v>
      </c>
      <c r="F28" s="44" t="s">
        <v>489</v>
      </c>
    </row>
    <row r="29" spans="1:6" ht="15" x14ac:dyDescent="0.3">
      <c r="A29" s="43">
        <v>2041</v>
      </c>
      <c r="B29" t="s">
        <v>439</v>
      </c>
      <c r="C29" t="s">
        <v>490</v>
      </c>
      <c r="D29" t="s">
        <v>491</v>
      </c>
      <c r="F29" s="44" t="s">
        <v>492</v>
      </c>
    </row>
    <row r="30" spans="1:6" ht="15" x14ac:dyDescent="0.3">
      <c r="F30" s="44" t="s">
        <v>493</v>
      </c>
    </row>
    <row r="31" spans="1:6" ht="15" x14ac:dyDescent="0.3">
      <c r="F31" s="42" t="s">
        <v>494</v>
      </c>
    </row>
    <row r="32" spans="1:6" ht="15" x14ac:dyDescent="0.3">
      <c r="F32" s="42"/>
    </row>
    <row r="34" spans="6:6" ht="15" x14ac:dyDescent="0.3">
      <c r="F34" s="42" t="s">
        <v>459</v>
      </c>
    </row>
    <row r="35" spans="6:6" ht="15" x14ac:dyDescent="0.3">
      <c r="F35" s="42" t="s">
        <v>495</v>
      </c>
    </row>
    <row r="36" spans="6:6" ht="15" x14ac:dyDescent="0.3">
      <c r="F36" s="42"/>
    </row>
    <row r="37" spans="6:6" ht="15" x14ac:dyDescent="0.3">
      <c r="F37" s="42" t="s">
        <v>496</v>
      </c>
    </row>
    <row r="38" spans="6:6" ht="15" x14ac:dyDescent="0.3">
      <c r="F38" s="42" t="s">
        <v>497</v>
      </c>
    </row>
    <row r="39" spans="6:6" ht="15" x14ac:dyDescent="0.3">
      <c r="F39" s="42" t="s">
        <v>498</v>
      </c>
    </row>
    <row r="40" spans="6:6" ht="15" x14ac:dyDescent="0.3">
      <c r="F40" s="42"/>
    </row>
    <row r="41" spans="6:6" ht="15" x14ac:dyDescent="0.3">
      <c r="F41" s="42" t="s">
        <v>499</v>
      </c>
    </row>
    <row r="42" spans="6:6" ht="15" x14ac:dyDescent="0.3">
      <c r="F42" s="44" t="s">
        <v>500</v>
      </c>
    </row>
    <row r="43" spans="6:6" ht="15" x14ac:dyDescent="0.3">
      <c r="F43" s="42" t="s">
        <v>501</v>
      </c>
    </row>
    <row r="44" spans="6:6" ht="15" x14ac:dyDescent="0.3">
      <c r="F44" s="44" t="s">
        <v>502</v>
      </c>
    </row>
    <row r="45" spans="6:6" ht="15" x14ac:dyDescent="0.3">
      <c r="F45" s="42"/>
    </row>
    <row r="47" spans="6:6" ht="15" x14ac:dyDescent="0.3">
      <c r="F47" s="42" t="s">
        <v>468</v>
      </c>
    </row>
    <row r="48" spans="6:6" ht="15" x14ac:dyDescent="0.3">
      <c r="F48" s="44" t="s">
        <v>503</v>
      </c>
    </row>
    <row r="49" spans="6:6" ht="15" x14ac:dyDescent="0.3">
      <c r="F49" s="42" t="s">
        <v>504</v>
      </c>
    </row>
    <row r="50" spans="6:6" ht="15" x14ac:dyDescent="0.3">
      <c r="F50" s="44" t="s">
        <v>505</v>
      </c>
    </row>
    <row r="51" spans="6:6" ht="15" x14ac:dyDescent="0.3">
      <c r="F51" s="44" t="s">
        <v>506</v>
      </c>
    </row>
    <row r="52" spans="6:6" ht="15" x14ac:dyDescent="0.3">
      <c r="F52" s="44" t="s">
        <v>507</v>
      </c>
    </row>
    <row r="53" spans="6:6" ht="15" x14ac:dyDescent="0.3">
      <c r="F53" s="44" t="s">
        <v>508</v>
      </c>
    </row>
    <row r="54" spans="6:6" ht="15" x14ac:dyDescent="0.3">
      <c r="F54" s="42"/>
    </row>
    <row r="57" spans="6:6" ht="15" x14ac:dyDescent="0.3">
      <c r="F57" s="42" t="s">
        <v>475</v>
      </c>
    </row>
    <row r="58" spans="6:6" ht="15" x14ac:dyDescent="0.3">
      <c r="F58" s="44" t="s">
        <v>509</v>
      </c>
    </row>
    <row r="59" spans="6:6" ht="15" x14ac:dyDescent="0.3">
      <c r="F59" s="44" t="s">
        <v>510</v>
      </c>
    </row>
    <row r="60" spans="6:6" ht="15" x14ac:dyDescent="0.3">
      <c r="F60" s="44" t="s">
        <v>511</v>
      </c>
    </row>
    <row r="61" spans="6:6" ht="15" x14ac:dyDescent="0.3">
      <c r="F61" s="44" t="s">
        <v>512</v>
      </c>
    </row>
    <row r="62" spans="6:6" ht="15" x14ac:dyDescent="0.3">
      <c r="F62" s="44" t="s">
        <v>513</v>
      </c>
    </row>
    <row r="63" spans="6:6" ht="15" x14ac:dyDescent="0.3">
      <c r="F63" s="44" t="s">
        <v>514</v>
      </c>
    </row>
    <row r="64" spans="6:6" ht="15" x14ac:dyDescent="0.3">
      <c r="F64" s="44" t="s">
        <v>515</v>
      </c>
    </row>
    <row r="65" spans="6:6" ht="15" x14ac:dyDescent="0.3">
      <c r="F65" s="44" t="s">
        <v>516</v>
      </c>
    </row>
    <row r="66" spans="6:6" ht="15" x14ac:dyDescent="0.3">
      <c r="F66" s="44" t="s">
        <v>517</v>
      </c>
    </row>
    <row r="67" spans="6:6" ht="15" x14ac:dyDescent="0.3">
      <c r="F67" s="44" t="s">
        <v>518</v>
      </c>
    </row>
    <row r="68" spans="6:6" ht="15" x14ac:dyDescent="0.3">
      <c r="F68" s="44" t="s">
        <v>519</v>
      </c>
    </row>
    <row r="69" spans="6:6" ht="15" x14ac:dyDescent="0.3">
      <c r="F69" s="44" t="s">
        <v>520</v>
      </c>
    </row>
    <row r="70" spans="6:6" ht="15" x14ac:dyDescent="0.3">
      <c r="F70" s="44" t="s">
        <v>521</v>
      </c>
    </row>
    <row r="71" spans="6:6" ht="15" x14ac:dyDescent="0.3">
      <c r="F71" s="44" t="s">
        <v>522</v>
      </c>
    </row>
    <row r="72" spans="6:6" ht="15" x14ac:dyDescent="0.3">
      <c r="F72" s="44" t="s">
        <v>523</v>
      </c>
    </row>
    <row r="73" spans="6:6" ht="15" x14ac:dyDescent="0.3">
      <c r="F73" s="44" t="s">
        <v>524</v>
      </c>
    </row>
    <row r="74" spans="6:6" ht="15" x14ac:dyDescent="0.3">
      <c r="F74" s="44" t="s">
        <v>525</v>
      </c>
    </row>
    <row r="75" spans="6:6" ht="15" x14ac:dyDescent="0.3">
      <c r="F75" s="44" t="s">
        <v>526</v>
      </c>
    </row>
    <row r="76" spans="6:6" ht="15" x14ac:dyDescent="0.3">
      <c r="F76" s="44" t="s">
        <v>527</v>
      </c>
    </row>
    <row r="77" spans="6:6" ht="15" x14ac:dyDescent="0.3">
      <c r="F77" s="44" t="s">
        <v>528</v>
      </c>
    </row>
    <row r="78" spans="6:6" ht="15" x14ac:dyDescent="0.3">
      <c r="F78" s="44" t="s">
        <v>529</v>
      </c>
    </row>
    <row r="79" spans="6:6" ht="15" x14ac:dyDescent="0.3">
      <c r="F79" s="44" t="s">
        <v>530</v>
      </c>
    </row>
    <row r="80" spans="6:6" ht="15" x14ac:dyDescent="0.3">
      <c r="F80" s="44" t="s">
        <v>531</v>
      </c>
    </row>
    <row r="81" spans="6:6" ht="15" x14ac:dyDescent="0.3">
      <c r="F81" s="42" t="s">
        <v>532</v>
      </c>
    </row>
    <row r="82" spans="6:6" ht="15" x14ac:dyDescent="0.3">
      <c r="F82" s="44" t="s">
        <v>533</v>
      </c>
    </row>
    <row r="83" spans="6:6" ht="15" x14ac:dyDescent="0.3">
      <c r="F83" s="44" t="s">
        <v>534</v>
      </c>
    </row>
    <row r="84" spans="6:6" ht="15" x14ac:dyDescent="0.3">
      <c r="F84" s="44" t="s">
        <v>535</v>
      </c>
    </row>
    <row r="85" spans="6:6" ht="15" x14ac:dyDescent="0.3">
      <c r="F85" s="44" t="s">
        <v>536</v>
      </c>
    </row>
    <row r="86" spans="6:6" ht="15" x14ac:dyDescent="0.3">
      <c r="F86" s="44" t="s">
        <v>537</v>
      </c>
    </row>
    <row r="87" spans="6:6" ht="15" x14ac:dyDescent="0.3">
      <c r="F87" s="44" t="s">
        <v>538</v>
      </c>
    </row>
    <row r="88" spans="6:6" ht="15" x14ac:dyDescent="0.3">
      <c r="F88" s="44" t="s">
        <v>539</v>
      </c>
    </row>
    <row r="89" spans="6:6" ht="15" x14ac:dyDescent="0.3">
      <c r="F89" s="44" t="s">
        <v>540</v>
      </c>
    </row>
    <row r="90" spans="6:6" ht="15" x14ac:dyDescent="0.3">
      <c r="F90" s="44" t="s">
        <v>541</v>
      </c>
    </row>
    <row r="91" spans="6:6" ht="15" x14ac:dyDescent="0.3">
      <c r="F91" s="44" t="s">
        <v>542</v>
      </c>
    </row>
    <row r="92" spans="6:6" ht="15" x14ac:dyDescent="0.3">
      <c r="F92" s="44" t="s">
        <v>543</v>
      </c>
    </row>
    <row r="93" spans="6:6" ht="15" x14ac:dyDescent="0.3">
      <c r="F93" s="44" t="s">
        <v>544</v>
      </c>
    </row>
    <row r="94" spans="6:6" ht="15" x14ac:dyDescent="0.3">
      <c r="F94" s="44" t="s">
        <v>545</v>
      </c>
    </row>
    <row r="95" spans="6:6" ht="15" x14ac:dyDescent="0.3">
      <c r="F95" s="44" t="s">
        <v>546</v>
      </c>
    </row>
    <row r="96" spans="6:6" ht="15" x14ac:dyDescent="0.3">
      <c r="F96" s="44" t="s">
        <v>547</v>
      </c>
    </row>
    <row r="97" spans="6:6" ht="15" x14ac:dyDescent="0.3">
      <c r="F97" s="44" t="s">
        <v>548</v>
      </c>
    </row>
    <row r="98" spans="6:6" ht="15" x14ac:dyDescent="0.3">
      <c r="F98" s="44" t="s">
        <v>549</v>
      </c>
    </row>
    <row r="99" spans="6:6" ht="15" x14ac:dyDescent="0.3">
      <c r="F99" s="44" t="s">
        <v>550</v>
      </c>
    </row>
    <row r="100" spans="6:6" ht="15" x14ac:dyDescent="0.3">
      <c r="F100" s="44" t="s">
        <v>551</v>
      </c>
    </row>
    <row r="101" spans="6:6" ht="15" x14ac:dyDescent="0.3">
      <c r="F101" s="44" t="s">
        <v>552</v>
      </c>
    </row>
    <row r="102" spans="6:6" ht="15" x14ac:dyDescent="0.3">
      <c r="F102" s="44" t="s">
        <v>553</v>
      </c>
    </row>
    <row r="103" spans="6:6" ht="15" x14ac:dyDescent="0.3">
      <c r="F103" s="44" t="s">
        <v>554</v>
      </c>
    </row>
    <row r="106" spans="6:6" ht="15" x14ac:dyDescent="0.3">
      <c r="F106" s="42"/>
    </row>
  </sheetData>
  <hyperlinks>
    <hyperlink ref="F2" r:id="rId1"/>
    <hyperlink ref="F1" r:id="rId2"/>
    <hyperlink ref="D2" r:id="rId3"/>
    <hyperlink ref="D20" r:id="rId4"/>
    <hyperlink ref="D19" r:id="rId5"/>
    <hyperlink ref="D15" r:id="rId6"/>
    <hyperlink ref="D8" r:id="rId7"/>
    <hyperlink ref="D23" r:id="rId8"/>
    <hyperlink ref="D5" r:id="rId9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workbookViewId="0">
      <selection activeCell="A30" sqref="A30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5" width="13.42578125" customWidth="1"/>
    <col min="6" max="6" width="10.5703125" customWidth="1"/>
    <col min="7" max="7" width="12.42578125" customWidth="1"/>
    <col min="8" max="8" width="12.5703125" customWidth="1"/>
    <col min="9" max="9" width="11.42578125" customWidth="1"/>
  </cols>
  <sheetData>
    <row r="1" spans="1:14" x14ac:dyDescent="0.2">
      <c r="E1" s="36" t="s">
        <v>431</v>
      </c>
    </row>
    <row r="2" spans="1:14" x14ac:dyDescent="0.2">
      <c r="D2" t="s">
        <v>414</v>
      </c>
      <c r="E2" t="s">
        <v>414</v>
      </c>
      <c r="F2" t="s">
        <v>352</v>
      </c>
      <c r="G2" s="36" t="s">
        <v>352</v>
      </c>
    </row>
    <row r="3" spans="1:14" x14ac:dyDescent="0.2">
      <c r="D3" t="s">
        <v>413</v>
      </c>
      <c r="E3" s="36" t="s">
        <v>415</v>
      </c>
      <c r="F3" s="36" t="s">
        <v>417</v>
      </c>
      <c r="G3" s="36" t="s">
        <v>418</v>
      </c>
      <c r="L3" s="36"/>
      <c r="M3" s="36"/>
      <c r="N3" s="36"/>
    </row>
    <row r="4" spans="1:14" x14ac:dyDescent="0.2">
      <c r="C4" s="36" t="s">
        <v>426</v>
      </c>
      <c r="D4" s="40" t="s">
        <v>429</v>
      </c>
      <c r="E4" s="40" t="s">
        <v>430</v>
      </c>
      <c r="F4" s="40" t="s">
        <v>428</v>
      </c>
      <c r="G4" s="39" t="s">
        <v>427</v>
      </c>
      <c r="L4" s="36"/>
      <c r="M4" s="36"/>
      <c r="N4" s="36"/>
    </row>
    <row r="5" spans="1:14" x14ac:dyDescent="0.2">
      <c r="B5" t="s">
        <v>42</v>
      </c>
      <c r="D5">
        <v>677</v>
      </c>
      <c r="E5">
        <v>800</v>
      </c>
      <c r="F5">
        <v>715</v>
      </c>
      <c r="G5" s="16">
        <v>1380</v>
      </c>
      <c r="L5" s="35"/>
    </row>
    <row r="6" spans="1:14" x14ac:dyDescent="0.2">
      <c r="B6" t="s">
        <v>43</v>
      </c>
      <c r="D6">
        <f>+D5*$A$29</f>
        <v>6770</v>
      </c>
      <c r="E6">
        <f>+E5*$A$29</f>
        <v>8000</v>
      </c>
      <c r="F6">
        <f>+F5*$A$29</f>
        <v>7150</v>
      </c>
      <c r="G6">
        <f>+G5*$A$29</f>
        <v>13800</v>
      </c>
    </row>
    <row r="7" spans="1:14" x14ac:dyDescent="0.2">
      <c r="A7">
        <v>0</v>
      </c>
      <c r="B7" t="s">
        <v>403</v>
      </c>
      <c r="D7">
        <f>$A7*D6*-1</f>
        <v>0</v>
      </c>
    </row>
    <row r="8" spans="1:14" x14ac:dyDescent="0.2">
      <c r="A8">
        <v>0.05</v>
      </c>
      <c r="B8" t="s">
        <v>404</v>
      </c>
      <c r="D8">
        <v>-229.95</v>
      </c>
      <c r="E8">
        <f>$A8*E6*-1</f>
        <v>-400</v>
      </c>
      <c r="F8">
        <f>$A8*F6*-1</f>
        <v>-357.5</v>
      </c>
      <c r="G8">
        <f>$A8*G6*-1</f>
        <v>-690</v>
      </c>
    </row>
    <row r="9" spans="1:14" x14ac:dyDescent="0.2">
      <c r="B9" t="s">
        <v>45</v>
      </c>
      <c r="D9">
        <v>0</v>
      </c>
      <c r="E9">
        <v>0</v>
      </c>
      <c r="F9">
        <v>0</v>
      </c>
      <c r="G9">
        <v>0</v>
      </c>
    </row>
    <row r="10" spans="1:14" x14ac:dyDescent="0.2">
      <c r="B10" t="s">
        <v>46</v>
      </c>
      <c r="D10">
        <f>53*$A$29</f>
        <v>530</v>
      </c>
      <c r="E10">
        <v>477</v>
      </c>
      <c r="F10">
        <v>504</v>
      </c>
      <c r="G10">
        <v>504</v>
      </c>
    </row>
    <row r="11" spans="1:14" x14ac:dyDescent="0.2">
      <c r="B11" t="s">
        <v>47</v>
      </c>
      <c r="D11">
        <v>170</v>
      </c>
      <c r="E11">
        <v>125</v>
      </c>
      <c r="F11">
        <v>125</v>
      </c>
      <c r="G11">
        <v>125</v>
      </c>
    </row>
    <row r="12" spans="1:14" x14ac:dyDescent="0.2">
      <c r="B12" t="s">
        <v>48</v>
      </c>
      <c r="D12">
        <v>0</v>
      </c>
      <c r="E12">
        <v>0</v>
      </c>
      <c r="F12">
        <v>0</v>
      </c>
      <c r="G12">
        <v>0</v>
      </c>
    </row>
    <row r="13" spans="1:14" x14ac:dyDescent="0.2">
      <c r="B13" t="s">
        <v>49</v>
      </c>
      <c r="D13">
        <v>0</v>
      </c>
      <c r="E13">
        <v>0</v>
      </c>
      <c r="F13">
        <v>0</v>
      </c>
      <c r="G13">
        <v>0</v>
      </c>
    </row>
    <row r="14" spans="1:14" x14ac:dyDescent="0.2">
      <c r="B14" t="s">
        <v>50</v>
      </c>
      <c r="D14">
        <v>0</v>
      </c>
      <c r="E14">
        <f>95*E24</f>
        <v>0</v>
      </c>
      <c r="F14">
        <f>95*F24</f>
        <v>0</v>
      </c>
      <c r="G14">
        <f>95*G24</f>
        <v>0</v>
      </c>
    </row>
    <row r="15" spans="1:14" x14ac:dyDescent="0.2">
      <c r="B15" t="s">
        <v>51</v>
      </c>
      <c r="D15">
        <v>80</v>
      </c>
      <c r="E15">
        <f>25*7</f>
        <v>175</v>
      </c>
      <c r="F15" s="36">
        <f>15*$A$29</f>
        <v>150</v>
      </c>
      <c r="G15" s="36">
        <f>15*$A$29</f>
        <v>150</v>
      </c>
    </row>
    <row r="16" spans="1:14" x14ac:dyDescent="0.2">
      <c r="B16" s="36" t="s">
        <v>416</v>
      </c>
      <c r="D16" s="36">
        <f>25*$A$29</f>
        <v>250</v>
      </c>
      <c r="E16" s="36">
        <f>25*$A$29</f>
        <v>250</v>
      </c>
      <c r="F16" s="36">
        <f>25*$A$29</f>
        <v>250</v>
      </c>
      <c r="G16" s="36">
        <f>25*$A$29</f>
        <v>250</v>
      </c>
    </row>
    <row r="17" spans="1:11" x14ac:dyDescent="0.2">
      <c r="B17" t="s">
        <v>52</v>
      </c>
      <c r="D17" s="13">
        <v>0</v>
      </c>
      <c r="E17" s="13">
        <v>40</v>
      </c>
      <c r="F17" s="13">
        <v>40</v>
      </c>
      <c r="G17" s="13">
        <v>40</v>
      </c>
    </row>
    <row r="18" spans="1:11" x14ac:dyDescent="0.2">
      <c r="B18" t="s">
        <v>54</v>
      </c>
      <c r="D18">
        <v>0</v>
      </c>
      <c r="E18">
        <f>E24*(45+5*5)</f>
        <v>0</v>
      </c>
      <c r="F18">
        <f>F24*(45+5*5)</f>
        <v>0</v>
      </c>
      <c r="G18">
        <f>G24*(45+5*5)</f>
        <v>0</v>
      </c>
      <c r="H18" s="36" t="s">
        <v>419</v>
      </c>
    </row>
    <row r="19" spans="1:11" x14ac:dyDescent="0.2">
      <c r="C19" t="s">
        <v>56</v>
      </c>
      <c r="D19" s="23">
        <f>SUM(D6:D18)</f>
        <v>7570.05</v>
      </c>
      <c r="E19" s="23">
        <f>SUM(E6:E18)</f>
        <v>8667</v>
      </c>
      <c r="F19" s="23">
        <f>SUM(F6:F18)</f>
        <v>7861.5</v>
      </c>
      <c r="G19" s="23">
        <f>SUM(G6:G18)</f>
        <v>14179</v>
      </c>
      <c r="H19" s="23">
        <f>E19</f>
        <v>8667</v>
      </c>
    </row>
    <row r="20" spans="1:11" x14ac:dyDescent="0.2">
      <c r="D20" s="23"/>
      <c r="E20" s="23"/>
      <c r="F20" s="23"/>
      <c r="G20" s="23"/>
      <c r="H20" s="23"/>
    </row>
    <row r="22" spans="1:11" x14ac:dyDescent="0.2">
      <c r="E22" t="s">
        <v>57</v>
      </c>
      <c r="H22" s="1">
        <f>H19/A27/A29</f>
        <v>108.33750000000001</v>
      </c>
      <c r="I22" s="1">
        <f>H22*2</f>
        <v>216.67500000000001</v>
      </c>
      <c r="J22" t="s">
        <v>58</v>
      </c>
    </row>
    <row r="24" spans="1:11" x14ac:dyDescent="0.2">
      <c r="A24" s="17" t="s">
        <v>59</v>
      </c>
      <c r="B24" s="17"/>
      <c r="C24" s="17"/>
      <c r="D24" s="17">
        <v>6</v>
      </c>
      <c r="E24" s="17"/>
      <c r="F24" s="17"/>
      <c r="G24" s="1"/>
      <c r="H24" s="1"/>
      <c r="I24" s="1"/>
    </row>
    <row r="25" spans="1:11" x14ac:dyDescent="0.2">
      <c r="A25" s="17"/>
      <c r="B25" s="17"/>
      <c r="C25" s="17" t="s">
        <v>61</v>
      </c>
      <c r="D25" s="22">
        <f>D19/D24</f>
        <v>1261.675</v>
      </c>
      <c r="E25" s="22"/>
      <c r="F25" s="22"/>
      <c r="G25" s="21"/>
      <c r="H25" s="1"/>
      <c r="I25" s="1"/>
      <c r="J25" s="36" t="s">
        <v>423</v>
      </c>
    </row>
    <row r="26" spans="1:11" x14ac:dyDescent="0.2">
      <c r="A26" s="17"/>
      <c r="B26" s="17"/>
      <c r="C26" s="17"/>
      <c r="D26" s="17"/>
      <c r="E26" s="17"/>
      <c r="F26" s="17"/>
      <c r="G26" s="21"/>
      <c r="H26" s="1"/>
      <c r="I26" s="1"/>
      <c r="J26">
        <v>2124</v>
      </c>
      <c r="K26" s="36" t="s">
        <v>421</v>
      </c>
    </row>
    <row r="27" spans="1:11" x14ac:dyDescent="0.2">
      <c r="A27" s="18">
        <v>8</v>
      </c>
      <c r="B27" s="18" t="s">
        <v>62</v>
      </c>
      <c r="C27" s="18"/>
      <c r="D27" s="18"/>
      <c r="E27" s="18"/>
      <c r="F27" s="18"/>
      <c r="G27" s="18"/>
      <c r="H27" s="18"/>
      <c r="J27">
        <v>1370</v>
      </c>
      <c r="K27" s="36" t="s">
        <v>424</v>
      </c>
    </row>
    <row r="28" spans="1:11" x14ac:dyDescent="0.2">
      <c r="A28" s="18">
        <v>2</v>
      </c>
      <c r="B28" s="38" t="s">
        <v>420</v>
      </c>
      <c r="C28" s="18"/>
      <c r="D28" s="18"/>
      <c r="E28" s="18"/>
      <c r="F28" s="18"/>
      <c r="G28" s="18"/>
      <c r="H28" s="18"/>
      <c r="J28">
        <v>1500</v>
      </c>
      <c r="K28" s="36" t="s">
        <v>425</v>
      </c>
    </row>
    <row r="29" spans="1:11" x14ac:dyDescent="0.2">
      <c r="A29" s="18">
        <v>10</v>
      </c>
      <c r="B29" s="38" t="s">
        <v>432</v>
      </c>
      <c r="C29" s="18"/>
      <c r="D29" s="18"/>
      <c r="E29" s="18"/>
      <c r="F29" s="18"/>
      <c r="G29" s="18"/>
      <c r="H29" s="18"/>
    </row>
    <row r="30" spans="1:11" x14ac:dyDescent="0.2">
      <c r="A30" s="18"/>
      <c r="B30" s="18"/>
      <c r="C30" s="18"/>
      <c r="D30" s="18"/>
      <c r="E30" s="18"/>
      <c r="F30" s="18"/>
      <c r="G30" s="18"/>
      <c r="H30" s="18"/>
    </row>
    <row r="31" spans="1:11" x14ac:dyDescent="0.2">
      <c r="A31" s="18"/>
      <c r="B31" s="18"/>
      <c r="C31" s="18"/>
      <c r="D31" s="18"/>
      <c r="E31" s="18"/>
      <c r="F31" s="18"/>
      <c r="G31" s="38" t="s">
        <v>60</v>
      </c>
      <c r="H31" s="18"/>
    </row>
    <row r="32" spans="1:11" x14ac:dyDescent="0.2">
      <c r="A32" s="18" t="s">
        <v>66</v>
      </c>
      <c r="B32" s="18"/>
      <c r="C32" s="19"/>
      <c r="D32" s="19"/>
      <c r="E32" s="18" t="s">
        <v>55</v>
      </c>
      <c r="F32" s="19"/>
      <c r="G32" s="19">
        <f>$H$19/$A$27</f>
        <v>1083.375</v>
      </c>
      <c r="H32" s="19"/>
      <c r="I32" s="1"/>
    </row>
    <row r="33" spans="1:11" x14ac:dyDescent="0.2">
      <c r="A33" s="18" t="s">
        <v>67</v>
      </c>
      <c r="B33" s="18"/>
      <c r="C33" s="19" t="s">
        <v>68</v>
      </c>
      <c r="D33" s="19">
        <v>30</v>
      </c>
      <c r="E33" s="20" t="s">
        <v>405</v>
      </c>
      <c r="F33" s="19"/>
      <c r="G33" s="19">
        <f>D33*$A$29</f>
        <v>300</v>
      </c>
      <c r="H33" s="19"/>
      <c r="I33" s="1"/>
    </row>
    <row r="34" spans="1:11" x14ac:dyDescent="0.2">
      <c r="A34" s="18"/>
      <c r="B34" s="18" t="s">
        <v>69</v>
      </c>
      <c r="C34" s="19" t="s">
        <v>68</v>
      </c>
      <c r="D34" s="19"/>
      <c r="E34" s="18"/>
      <c r="F34" s="19"/>
      <c r="G34" s="19">
        <f>D34*$A$29</f>
        <v>0</v>
      </c>
      <c r="H34" s="19"/>
      <c r="I34" s="1"/>
    </row>
    <row r="35" spans="1:11" x14ac:dyDescent="0.2">
      <c r="A35" s="18"/>
      <c r="B35" s="18"/>
      <c r="C35" s="19"/>
      <c r="D35" s="19"/>
      <c r="E35" s="18"/>
      <c r="F35" s="19"/>
      <c r="G35" s="19"/>
      <c r="H35" s="19"/>
      <c r="I35" s="1"/>
    </row>
    <row r="36" spans="1:11" x14ac:dyDescent="0.2">
      <c r="A36" s="18" t="s">
        <v>70</v>
      </c>
      <c r="B36" s="18"/>
      <c r="C36" s="19" t="s">
        <v>71</v>
      </c>
      <c r="D36" s="19">
        <v>200</v>
      </c>
      <c r="E36" s="18"/>
      <c r="F36" s="19"/>
      <c r="G36" s="19">
        <f>D36</f>
        <v>200</v>
      </c>
      <c r="H36" s="19"/>
      <c r="I36" s="1"/>
    </row>
    <row r="37" spans="1:11" x14ac:dyDescent="0.2">
      <c r="A37" s="18" t="s">
        <v>72</v>
      </c>
      <c r="B37" s="18"/>
      <c r="C37" s="19"/>
      <c r="D37" s="19">
        <v>81</v>
      </c>
      <c r="E37" s="18"/>
      <c r="F37" s="19"/>
      <c r="G37" s="19">
        <v>50</v>
      </c>
      <c r="H37" s="19"/>
      <c r="I37" s="1"/>
    </row>
    <row r="38" spans="1:11" x14ac:dyDescent="0.2">
      <c r="A38" s="18"/>
      <c r="B38" s="18"/>
      <c r="C38" s="19"/>
      <c r="D38" s="19"/>
      <c r="E38" s="18"/>
      <c r="F38" s="19"/>
      <c r="G38" s="19"/>
      <c r="H38" s="19"/>
      <c r="I38" s="1"/>
    </row>
    <row r="39" spans="1:11" x14ac:dyDescent="0.2">
      <c r="A39" s="18"/>
      <c r="B39" s="18"/>
      <c r="C39" s="19"/>
      <c r="D39" s="19"/>
      <c r="E39" s="18" t="s">
        <v>73</v>
      </c>
      <c r="F39" s="19"/>
      <c r="G39" s="19">
        <f>SUM(G32:G38)</f>
        <v>1633.375</v>
      </c>
      <c r="H39" s="19"/>
      <c r="I39" s="1"/>
      <c r="J39" s="36" t="s">
        <v>422</v>
      </c>
    </row>
    <row r="40" spans="1:11" x14ac:dyDescent="0.2">
      <c r="C40" s="1"/>
      <c r="D40" s="1"/>
      <c r="F40" s="1"/>
      <c r="G40" s="1"/>
      <c r="H40" s="1"/>
      <c r="I40" s="1"/>
    </row>
    <row r="41" spans="1:11" x14ac:dyDescent="0.2">
      <c r="C41" s="1"/>
      <c r="D41" s="1"/>
      <c r="E41" s="1"/>
      <c r="G41" s="1"/>
      <c r="H41" s="1"/>
      <c r="I41" s="1"/>
    </row>
    <row r="42" spans="1:11" x14ac:dyDescent="0.2">
      <c r="C42" s="1"/>
      <c r="D42" s="1"/>
      <c r="E42" s="1"/>
      <c r="G42" s="23"/>
      <c r="H42" s="1"/>
      <c r="I42" s="1"/>
    </row>
    <row r="47" spans="1:11" x14ac:dyDescent="0.2">
      <c r="D47" t="s">
        <v>105</v>
      </c>
      <c r="E47" t="s">
        <v>2</v>
      </c>
      <c r="F47" t="s">
        <v>4</v>
      </c>
      <c r="K47" t="s">
        <v>138</v>
      </c>
    </row>
    <row r="48" spans="1:11" x14ac:dyDescent="0.2">
      <c r="D48" t="s">
        <v>139</v>
      </c>
      <c r="E48" t="s">
        <v>140</v>
      </c>
      <c r="F48" t="s">
        <v>141</v>
      </c>
    </row>
    <row r="49" spans="1:11" x14ac:dyDescent="0.2">
      <c r="B49" t="s">
        <v>42</v>
      </c>
      <c r="D49">
        <v>530</v>
      </c>
      <c r="E49">
        <v>845</v>
      </c>
      <c r="F49">
        <v>890</v>
      </c>
      <c r="G49" s="16"/>
      <c r="K49">
        <v>279.5</v>
      </c>
    </row>
    <row r="50" spans="1:11" x14ac:dyDescent="0.2">
      <c r="B50" t="s">
        <v>43</v>
      </c>
      <c r="D50">
        <f>D49*$A71</f>
        <v>3710</v>
      </c>
      <c r="E50">
        <f>E49*$A71</f>
        <v>5915</v>
      </c>
      <c r="F50">
        <f>F49*$A71</f>
        <v>6230</v>
      </c>
      <c r="K50">
        <f>K49*$A71</f>
        <v>1956.5</v>
      </c>
    </row>
    <row r="51" spans="1:11" x14ac:dyDescent="0.2">
      <c r="A51">
        <v>0.05</v>
      </c>
      <c r="B51" t="s">
        <v>44</v>
      </c>
      <c r="D51">
        <f>$A51*D50*-1</f>
        <v>-185.5</v>
      </c>
      <c r="E51">
        <f>$A51*E50*-1</f>
        <v>-295.75</v>
      </c>
      <c r="F51">
        <v>0</v>
      </c>
      <c r="K51" s="13" t="s">
        <v>142</v>
      </c>
    </row>
    <row r="52" spans="1:11" x14ac:dyDescent="0.2">
      <c r="A52">
        <v>0.7</v>
      </c>
      <c r="B52" t="s">
        <v>45</v>
      </c>
      <c r="D52">
        <f>$A52*D49</f>
        <v>371</v>
      </c>
      <c r="E52">
        <f>$A52*E49</f>
        <v>591.5</v>
      </c>
      <c r="F52">
        <f>$A52*F49</f>
        <v>623</v>
      </c>
      <c r="K52">
        <f>K49</f>
        <v>279.5</v>
      </c>
    </row>
    <row r="53" spans="1:11" x14ac:dyDescent="0.2">
      <c r="B53" t="s">
        <v>46</v>
      </c>
      <c r="D53">
        <v>264</v>
      </c>
      <c r="E53">
        <v>304</v>
      </c>
      <c r="F53">
        <v>304</v>
      </c>
      <c r="K53">
        <v>264</v>
      </c>
    </row>
    <row r="54" spans="1:11" x14ac:dyDescent="0.2">
      <c r="B54" t="s">
        <v>47</v>
      </c>
      <c r="D54">
        <v>0</v>
      </c>
      <c r="E54">
        <v>0</v>
      </c>
      <c r="F54">
        <v>0</v>
      </c>
      <c r="K54" s="13" t="s">
        <v>142</v>
      </c>
    </row>
    <row r="55" spans="1:11" x14ac:dyDescent="0.2">
      <c r="B55" t="s">
        <v>48</v>
      </c>
      <c r="D55">
        <v>100</v>
      </c>
      <c r="E55">
        <v>100</v>
      </c>
      <c r="F55">
        <v>94</v>
      </c>
      <c r="H55">
        <f>3525/0.65</f>
        <v>5423.0769230769229</v>
      </c>
      <c r="K55">
        <f>2*6*10</f>
        <v>120</v>
      </c>
    </row>
    <row r="56" spans="1:11" x14ac:dyDescent="0.2">
      <c r="B56" t="s">
        <v>143</v>
      </c>
      <c r="D56">
        <f>3440-1204</f>
        <v>2236</v>
      </c>
    </row>
    <row r="57" spans="1:11" x14ac:dyDescent="0.2">
      <c r="B57" t="s">
        <v>50</v>
      </c>
      <c r="D57" t="s">
        <v>144</v>
      </c>
      <c r="K57">
        <v>0</v>
      </c>
    </row>
    <row r="58" spans="1:11" x14ac:dyDescent="0.2">
      <c r="B58" t="s">
        <v>51</v>
      </c>
      <c r="D58">
        <v>0</v>
      </c>
      <c r="E58">
        <v>175</v>
      </c>
      <c r="F58">
        <v>175</v>
      </c>
      <c r="K58">
        <v>0</v>
      </c>
    </row>
    <row r="59" spans="1:11" x14ac:dyDescent="0.2">
      <c r="B59" t="s">
        <v>52</v>
      </c>
      <c r="D59">
        <v>0</v>
      </c>
      <c r="E59">
        <v>0</v>
      </c>
      <c r="F59">
        <v>0</v>
      </c>
      <c r="K59" s="13" t="s">
        <v>142</v>
      </c>
    </row>
    <row r="60" spans="1:11" x14ac:dyDescent="0.2">
      <c r="B60" t="s">
        <v>54</v>
      </c>
      <c r="D60">
        <v>0</v>
      </c>
      <c r="F60">
        <f>10*F66</f>
        <v>80</v>
      </c>
      <c r="G60" t="s">
        <v>145</v>
      </c>
      <c r="H60" t="s">
        <v>55</v>
      </c>
      <c r="K60">
        <v>0</v>
      </c>
    </row>
    <row r="61" spans="1:11" x14ac:dyDescent="0.2">
      <c r="C61" t="s">
        <v>56</v>
      </c>
      <c r="D61" s="23">
        <f>SUM(D53:D60)</f>
        <v>2600</v>
      </c>
      <c r="E61" s="23">
        <f>SUM(E50:E60)</f>
        <v>6789.75</v>
      </c>
      <c r="F61" s="23">
        <f>SUM(F50:F60)</f>
        <v>7506</v>
      </c>
      <c r="G61" s="23">
        <f>G63</f>
        <v>1084.6153846153845</v>
      </c>
      <c r="H61" s="23">
        <f>E61+D61+F61+G61</f>
        <v>17980.365384615383</v>
      </c>
      <c r="K61" s="23">
        <f>SUM(K50:K60)</f>
        <v>2620</v>
      </c>
    </row>
    <row r="62" spans="1:11" x14ac:dyDescent="0.2">
      <c r="C62" t="s">
        <v>146</v>
      </c>
      <c r="D62" s="23">
        <f>D61-G63</f>
        <v>1515.3846153846155</v>
      </c>
      <c r="E62" s="23"/>
      <c r="F62" s="23"/>
      <c r="G62" s="23"/>
      <c r="H62" s="23"/>
      <c r="K62" s="23"/>
    </row>
    <row r="63" spans="1:11" x14ac:dyDescent="0.2">
      <c r="D63" t="s">
        <v>147</v>
      </c>
      <c r="G63">
        <f>(3525/(1-0.35))*0.3*4/6</f>
        <v>1084.6153846153845</v>
      </c>
      <c r="H63" t="s">
        <v>148</v>
      </c>
      <c r="I63">
        <f>G63/4</f>
        <v>271.15384615384613</v>
      </c>
    </row>
    <row r="64" spans="1:11" x14ac:dyDescent="0.2">
      <c r="E64" t="s">
        <v>57</v>
      </c>
      <c r="H64" s="1">
        <f>H61/A69/A71</f>
        <v>107.02598443223442</v>
      </c>
      <c r="I64" s="1">
        <f>H64*2</f>
        <v>214.05196886446885</v>
      </c>
      <c r="J64" t="s">
        <v>58</v>
      </c>
    </row>
    <row r="66" spans="1:11" x14ac:dyDescent="0.2">
      <c r="A66" s="17" t="s">
        <v>59</v>
      </c>
      <c r="B66" s="17"/>
      <c r="C66" s="17" t="s">
        <v>60</v>
      </c>
      <c r="D66" s="17">
        <v>5</v>
      </c>
      <c r="E66" s="17">
        <v>10</v>
      </c>
      <c r="F66" s="17">
        <v>8</v>
      </c>
      <c r="G66" s="1"/>
      <c r="H66" s="1"/>
      <c r="I66" s="1"/>
    </row>
    <row r="67" spans="1:11" x14ac:dyDescent="0.2">
      <c r="A67" s="17"/>
      <c r="B67" s="17"/>
      <c r="C67" s="17" t="s">
        <v>61</v>
      </c>
      <c r="D67" s="22">
        <f>D61/D66</f>
        <v>520</v>
      </c>
      <c r="E67" s="22">
        <f>E61/E66</f>
        <v>678.97500000000002</v>
      </c>
      <c r="F67" s="22">
        <f>F61/F66</f>
        <v>938.25</v>
      </c>
      <c r="G67" s="21" t="s">
        <v>149</v>
      </c>
      <c r="H67" s="1"/>
      <c r="I67" s="1"/>
    </row>
    <row r="68" spans="1:11" x14ac:dyDescent="0.2">
      <c r="A68" s="17"/>
      <c r="B68" s="17"/>
      <c r="C68" s="17"/>
      <c r="D68" s="17"/>
      <c r="E68" s="17"/>
      <c r="F68" s="17"/>
      <c r="G68" s="21"/>
      <c r="H68" s="1"/>
      <c r="I68" s="1"/>
    </row>
    <row r="69" spans="1:11" x14ac:dyDescent="0.2">
      <c r="A69" s="18">
        <v>24</v>
      </c>
      <c r="B69" s="18" t="s">
        <v>62</v>
      </c>
      <c r="C69" s="18"/>
      <c r="D69" s="18"/>
      <c r="E69" s="18"/>
      <c r="F69" s="18"/>
      <c r="G69" s="18"/>
      <c r="H69" s="18"/>
    </row>
    <row r="70" spans="1:11" x14ac:dyDescent="0.2">
      <c r="A70" s="18">
        <v>4</v>
      </c>
      <c r="B70" s="18" t="s">
        <v>63</v>
      </c>
      <c r="C70" s="18"/>
      <c r="D70" s="18"/>
      <c r="E70" s="18"/>
      <c r="F70" s="18"/>
      <c r="G70" s="18"/>
      <c r="H70" s="18"/>
    </row>
    <row r="71" spans="1:11" x14ac:dyDescent="0.2">
      <c r="A71" s="18">
        <v>7</v>
      </c>
      <c r="B71" s="18" t="s">
        <v>64</v>
      </c>
      <c r="C71" s="18"/>
      <c r="D71" s="18"/>
      <c r="E71" s="18"/>
      <c r="F71" s="18"/>
      <c r="G71" s="18"/>
      <c r="H71" s="18"/>
    </row>
    <row r="72" spans="1:11" x14ac:dyDescent="0.2">
      <c r="A72" s="18"/>
      <c r="B72" s="18"/>
      <c r="C72" s="18"/>
      <c r="D72" s="18"/>
      <c r="E72" s="18"/>
      <c r="F72" s="18"/>
      <c r="G72" s="18"/>
      <c r="H72" s="18"/>
      <c r="K72">
        <f>1660/6</f>
        <v>276.66666666666669</v>
      </c>
    </row>
    <row r="73" spans="1:11" x14ac:dyDescent="0.2">
      <c r="A73" s="18"/>
      <c r="B73" s="18"/>
      <c r="C73" s="18"/>
      <c r="D73" s="18"/>
      <c r="E73" s="18"/>
      <c r="F73" s="18"/>
      <c r="G73" s="18" t="s">
        <v>65</v>
      </c>
      <c r="H73" s="18" t="s">
        <v>150</v>
      </c>
    </row>
    <row r="74" spans="1:11" x14ac:dyDescent="0.2">
      <c r="A74" s="18" t="s">
        <v>66</v>
      </c>
      <c r="B74" s="18"/>
      <c r="C74" s="19"/>
      <c r="D74" s="19"/>
      <c r="E74" s="18" t="s">
        <v>55</v>
      </c>
      <c r="F74" s="19"/>
      <c r="G74" s="19" t="e">
        <f>$H$18/$A$26</f>
        <v>#VALUE!</v>
      </c>
      <c r="H74" s="19" t="e">
        <f>$H$18/$A$26</f>
        <v>#VALUE!</v>
      </c>
      <c r="I74" s="1"/>
      <c r="K74">
        <f>196+20+200</f>
        <v>416</v>
      </c>
    </row>
    <row r="75" spans="1:11" x14ac:dyDescent="0.2">
      <c r="A75" s="18" t="s">
        <v>151</v>
      </c>
      <c r="B75" s="18"/>
      <c r="C75" s="19" t="s">
        <v>68</v>
      </c>
      <c r="D75" s="19">
        <v>28</v>
      </c>
      <c r="E75" s="20"/>
      <c r="F75" s="19"/>
      <c r="G75" s="19">
        <f>D75*$A$28</f>
        <v>56</v>
      </c>
      <c r="H75" s="19">
        <f>D75*$A$28/2</f>
        <v>28</v>
      </c>
      <c r="I75" s="1"/>
      <c r="K75">
        <f>E50+E51</f>
        <v>5619.25</v>
      </c>
    </row>
    <row r="76" spans="1:11" x14ac:dyDescent="0.2">
      <c r="A76" s="18"/>
      <c r="B76" s="18" t="s">
        <v>69</v>
      </c>
      <c r="C76" s="19" t="s">
        <v>68</v>
      </c>
      <c r="D76" s="19">
        <f>D75*0.1</f>
        <v>2.8000000000000003</v>
      </c>
      <c r="E76" s="18"/>
      <c r="F76" s="19"/>
      <c r="G76" s="19">
        <f>D76*$A$28</f>
        <v>5.6000000000000005</v>
      </c>
      <c r="H76" s="19">
        <f>D76*$A$28/2</f>
        <v>2.8000000000000003</v>
      </c>
      <c r="I76" s="1"/>
    </row>
    <row r="77" spans="1:11" x14ac:dyDescent="0.2">
      <c r="A77" s="18"/>
      <c r="B77" s="18"/>
      <c r="C77" s="19"/>
      <c r="D77" s="19"/>
      <c r="E77" s="18"/>
      <c r="F77" s="19"/>
      <c r="G77" s="19"/>
      <c r="H77" s="19"/>
      <c r="I77" s="1"/>
    </row>
    <row r="78" spans="1:11" x14ac:dyDescent="0.2">
      <c r="A78" s="18" t="s">
        <v>70</v>
      </c>
      <c r="B78" s="18"/>
      <c r="C78" s="19" t="s">
        <v>71</v>
      </c>
      <c r="D78" s="19">
        <v>200</v>
      </c>
      <c r="E78" s="18"/>
      <c r="F78" s="19"/>
      <c r="G78" s="19">
        <f>D78</f>
        <v>200</v>
      </c>
      <c r="H78" s="19">
        <v>30</v>
      </c>
      <c r="I78" s="1"/>
    </row>
    <row r="79" spans="1:11" x14ac:dyDescent="0.2">
      <c r="A79" s="18" t="s">
        <v>72</v>
      </c>
      <c r="B79" s="18"/>
      <c r="C79" s="19"/>
      <c r="D79" s="19">
        <v>0</v>
      </c>
      <c r="E79" s="18"/>
      <c r="F79" s="19"/>
      <c r="G79" s="19">
        <v>0</v>
      </c>
      <c r="H79" s="19">
        <v>0</v>
      </c>
      <c r="I79" s="1"/>
    </row>
    <row r="80" spans="1:11" x14ac:dyDescent="0.2">
      <c r="A80" s="18"/>
      <c r="B80" s="18"/>
      <c r="C80" s="19"/>
      <c r="D80" s="19"/>
      <c r="E80" s="18"/>
      <c r="F80" s="19"/>
      <c r="G80" s="19"/>
      <c r="H80" s="19"/>
      <c r="I80" s="1"/>
    </row>
    <row r="81" spans="1:9" x14ac:dyDescent="0.2">
      <c r="A81" s="18"/>
      <c r="B81" s="18"/>
      <c r="C81" s="19"/>
      <c r="D81" s="19"/>
      <c r="E81" s="18" t="s">
        <v>73</v>
      </c>
      <c r="F81" s="19"/>
      <c r="G81" s="19" t="e">
        <f>SUM(G74:G80)</f>
        <v>#VALUE!</v>
      </c>
      <c r="H81" s="19" t="e">
        <f>SUM(H74:H80)</f>
        <v>#VALUE!</v>
      </c>
      <c r="I81" s="1" t="e">
        <f>G81-H81</f>
        <v>#VALUE!</v>
      </c>
    </row>
    <row r="82" spans="1:9" x14ac:dyDescent="0.2">
      <c r="C82" s="1"/>
      <c r="D82" s="1"/>
      <c r="F82" s="1"/>
      <c r="G82" s="1"/>
      <c r="H82" s="1"/>
      <c r="I82" s="1"/>
    </row>
    <row r="83" spans="1:9" x14ac:dyDescent="0.2">
      <c r="A83" t="s">
        <v>152</v>
      </c>
      <c r="C83" s="1"/>
      <c r="D83" s="1"/>
      <c r="E83" s="1"/>
      <c r="F83" t="s">
        <v>153</v>
      </c>
      <c r="G83" s="1"/>
      <c r="H83" s="1"/>
      <c r="I83" s="1"/>
    </row>
    <row r="84" spans="1:9" x14ac:dyDescent="0.2">
      <c r="A84" t="s">
        <v>154</v>
      </c>
      <c r="C84" s="1"/>
      <c r="D84" s="1"/>
      <c r="E84" s="1"/>
      <c r="G84" s="23">
        <f>(D52+E52+F52)/A69</f>
        <v>66.0625</v>
      </c>
      <c r="H84" s="1"/>
      <c r="I84" s="1"/>
    </row>
    <row r="85" spans="1:9" x14ac:dyDescent="0.2">
      <c r="A85" t="s">
        <v>155</v>
      </c>
      <c r="C85" s="1"/>
      <c r="D85" s="1"/>
      <c r="E85" s="1"/>
      <c r="F85" s="1"/>
      <c r="G85" s="1"/>
      <c r="H85" s="1"/>
      <c r="I85" s="1"/>
    </row>
    <row r="86" spans="1:9" x14ac:dyDescent="0.2">
      <c r="C86" s="1"/>
      <c r="D86" s="1"/>
      <c r="E86" s="1"/>
      <c r="F86" s="1"/>
      <c r="G86" s="1"/>
      <c r="H86" s="1"/>
      <c r="I86" s="1"/>
    </row>
    <row r="87" spans="1:9" x14ac:dyDescent="0.2">
      <c r="C87" s="1"/>
      <c r="D87" s="1"/>
      <c r="E87" s="1"/>
      <c r="F87" s="1"/>
      <c r="G87" s="1"/>
      <c r="H87" s="1"/>
      <c r="I87" s="1"/>
    </row>
    <row r="88" spans="1:9" x14ac:dyDescent="0.2">
      <c r="C88" s="1"/>
      <c r="D88" s="1"/>
      <c r="E88" s="1"/>
      <c r="F88" s="1"/>
      <c r="G88" s="1"/>
      <c r="H88" s="1"/>
      <c r="I88" s="1"/>
    </row>
    <row r="89" spans="1:9" x14ac:dyDescent="0.2">
      <c r="C89" s="1"/>
      <c r="D89" s="1"/>
      <c r="E89" s="1"/>
      <c r="F89" s="1"/>
      <c r="G89" s="1"/>
      <c r="H89" s="1"/>
      <c r="I89" s="1"/>
    </row>
    <row r="90" spans="1:9" x14ac:dyDescent="0.2">
      <c r="C90" s="1"/>
      <c r="D90" s="1"/>
      <c r="E90" s="1"/>
      <c r="F90" s="1"/>
      <c r="G90" s="1"/>
      <c r="H90" s="1"/>
      <c r="I90" s="1"/>
    </row>
    <row r="91" spans="1:9" x14ac:dyDescent="0.2">
      <c r="C91" s="1"/>
      <c r="D91" s="1"/>
      <c r="E91" s="1"/>
      <c r="F91" s="1"/>
      <c r="G91" s="1"/>
      <c r="H91" s="1"/>
      <c r="I91" s="1"/>
    </row>
    <row r="92" spans="1:9" x14ac:dyDescent="0.2">
      <c r="C92" s="1"/>
      <c r="D92" s="1"/>
      <c r="E92" s="1"/>
      <c r="F92" s="1"/>
      <c r="G92" s="1"/>
      <c r="H92" s="1"/>
      <c r="I92" s="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workbookViewId="0">
      <pane ySplit="825" activePane="bottomLeft"/>
      <selection activeCell="D21" sqref="D21"/>
      <selection pane="bottomLeft" activeCell="J37" sqref="J37"/>
    </sheetView>
  </sheetViews>
  <sheetFormatPr defaultColWidth="8.42578125" defaultRowHeight="12.75" x14ac:dyDescent="0.2"/>
  <cols>
    <col min="1" max="1" width="11" customWidth="1"/>
    <col min="2" max="2" width="11.28515625" customWidth="1"/>
    <col min="3" max="3" width="8.42578125" bestFit="1" customWidth="1"/>
    <col min="4" max="6" width="11.42578125" bestFit="1" customWidth="1"/>
    <col min="7" max="7" width="8.42578125" bestFit="1" customWidth="1"/>
    <col min="8" max="8" width="12.85546875" customWidth="1"/>
  </cols>
  <sheetData>
    <row r="1" spans="1:14" x14ac:dyDescent="0.2">
      <c r="A1" t="s">
        <v>408</v>
      </c>
    </row>
    <row r="2" spans="1:14" x14ac:dyDescent="0.2">
      <c r="A2" t="s">
        <v>1</v>
      </c>
      <c r="C2" t="s">
        <v>2</v>
      </c>
      <c r="D2" t="s">
        <v>3</v>
      </c>
      <c r="E2" t="s">
        <v>75</v>
      </c>
      <c r="F2" t="s">
        <v>76</v>
      </c>
      <c r="G2" t="s">
        <v>77</v>
      </c>
      <c r="H2" t="s">
        <v>78</v>
      </c>
      <c r="I2" t="s">
        <v>9</v>
      </c>
      <c r="J2" t="s">
        <v>10</v>
      </c>
    </row>
    <row r="3" spans="1:14" x14ac:dyDescent="0.2">
      <c r="B3" t="s">
        <v>11</v>
      </c>
      <c r="C3" s="5"/>
      <c r="D3" s="5"/>
      <c r="E3" s="5"/>
      <c r="F3" s="5"/>
      <c r="G3" s="5"/>
      <c r="H3" s="5"/>
      <c r="I3" s="5"/>
    </row>
    <row r="4" spans="1:14" x14ac:dyDescent="0.2">
      <c r="B4" t="s">
        <v>12</v>
      </c>
      <c r="C4">
        <v>1100</v>
      </c>
      <c r="D4">
        <v>1100</v>
      </c>
      <c r="E4">
        <v>1100</v>
      </c>
      <c r="F4">
        <v>1100</v>
      </c>
      <c r="G4">
        <v>1100</v>
      </c>
      <c r="H4">
        <v>1100</v>
      </c>
      <c r="I4">
        <v>900</v>
      </c>
      <c r="J4">
        <v>900</v>
      </c>
    </row>
    <row r="5" spans="1:14" x14ac:dyDescent="0.2">
      <c r="B5" t="s">
        <v>13</v>
      </c>
      <c r="E5">
        <v>12</v>
      </c>
      <c r="F5">
        <v>0</v>
      </c>
      <c r="G5">
        <v>-300</v>
      </c>
    </row>
    <row r="9" spans="1:14" x14ac:dyDescent="0.2">
      <c r="A9" t="s">
        <v>17</v>
      </c>
      <c r="C9">
        <f t="shared" ref="C9:J9" si="0">SUM(C4:C8)</f>
        <v>1100</v>
      </c>
      <c r="D9">
        <f t="shared" si="0"/>
        <v>1100</v>
      </c>
      <c r="E9">
        <f t="shared" si="0"/>
        <v>1112</v>
      </c>
      <c r="F9">
        <f t="shared" si="0"/>
        <v>1100</v>
      </c>
      <c r="G9">
        <f t="shared" si="0"/>
        <v>800</v>
      </c>
      <c r="H9">
        <f t="shared" si="0"/>
        <v>1100</v>
      </c>
      <c r="I9">
        <f t="shared" si="0"/>
        <v>900</v>
      </c>
      <c r="J9">
        <f t="shared" si="0"/>
        <v>900</v>
      </c>
    </row>
    <row r="10" spans="1:14" x14ac:dyDescent="0.2">
      <c r="B10" t="s">
        <v>411</v>
      </c>
      <c r="C10">
        <f>C9/$B23</f>
        <v>0.13095238095238096</v>
      </c>
      <c r="I10">
        <f>I9/$B23</f>
        <v>0.10714285714285714</v>
      </c>
    </row>
    <row r="11" spans="1:14" x14ac:dyDescent="0.2">
      <c r="A11" t="s">
        <v>18</v>
      </c>
      <c r="B11" s="7">
        <f>SUM(C11:M11)</f>
        <v>7737.5531055900628</v>
      </c>
      <c r="C11" s="8">
        <f t="shared" ref="C11:J11" si="1">SUM(C13:C21)</f>
        <v>6095.7083850931685</v>
      </c>
      <c r="D11" s="8">
        <f t="shared" si="1"/>
        <v>1542.1987577639752</v>
      </c>
      <c r="E11" s="8">
        <f t="shared" si="1"/>
        <v>59.503105590062098</v>
      </c>
      <c r="F11" s="8">
        <f t="shared" si="1"/>
        <v>37.658385093167702</v>
      </c>
      <c r="G11" s="8">
        <f t="shared" si="1"/>
        <v>2.4844720496894408</v>
      </c>
      <c r="H11" s="10">
        <f t="shared" si="1"/>
        <v>0</v>
      </c>
      <c r="I11" s="10">
        <f t="shared" si="1"/>
        <v>0</v>
      </c>
      <c r="J11" s="10">
        <f t="shared" si="1"/>
        <v>0</v>
      </c>
      <c r="M11" t="s">
        <v>79</v>
      </c>
    </row>
    <row r="12" spans="1:14" x14ac:dyDescent="0.2">
      <c r="A12" t="s">
        <v>19</v>
      </c>
      <c r="C12" t="s">
        <v>20</v>
      </c>
      <c r="E12" s="13" t="s">
        <v>21</v>
      </c>
      <c r="F12" s="37">
        <f>1/N15</f>
        <v>3.1055900621118009E-2</v>
      </c>
      <c r="G12" t="s">
        <v>409</v>
      </c>
      <c r="M12" t="s">
        <v>80</v>
      </c>
      <c r="N12">
        <f>263.39/198.08</f>
        <v>1.329715266558966</v>
      </c>
    </row>
    <row r="13" spans="1:14" x14ac:dyDescent="0.2">
      <c r="B13" t="s">
        <v>23</v>
      </c>
      <c r="C13">
        <v>4911.05</v>
      </c>
      <c r="D13">
        <f>bt*22180</f>
        <v>688.81987577639745</v>
      </c>
      <c r="E13">
        <f>bt*1050</f>
        <v>32.608695652173907</v>
      </c>
      <c r="F13">
        <f>10*2</f>
        <v>20</v>
      </c>
      <c r="G13">
        <f>bt*80</f>
        <v>2.4844720496894408</v>
      </c>
      <c r="M13" t="s">
        <v>81</v>
      </c>
      <c r="N13">
        <f>252.06/677.6</f>
        <v>0.37198937426210155</v>
      </c>
    </row>
    <row r="14" spans="1:14" x14ac:dyDescent="0.2">
      <c r="C14">
        <f>bt*3796</f>
        <v>117.88819875776396</v>
      </c>
      <c r="D14">
        <v>40</v>
      </c>
      <c r="E14">
        <f>bt*780</f>
        <v>24.223602484472046</v>
      </c>
      <c r="F14">
        <v>13</v>
      </c>
      <c r="M14" t="s">
        <v>82</v>
      </c>
      <c r="N14" s="34">
        <f>1/5.45</f>
        <v>0.18348623853211007</v>
      </c>
    </row>
    <row r="15" spans="1:14" x14ac:dyDescent="0.2">
      <c r="C15">
        <f>bt*6760</f>
        <v>209.93788819875775</v>
      </c>
      <c r="D15">
        <v>520</v>
      </c>
      <c r="E15">
        <f>bt*86</f>
        <v>2.6708074534161486</v>
      </c>
      <c r="F15">
        <f>bt*150</f>
        <v>4.6583850931677011</v>
      </c>
      <c r="I15" s="7"/>
      <c r="M15" s="36" t="s">
        <v>410</v>
      </c>
      <c r="N15">
        <v>32.200000000000003</v>
      </c>
    </row>
    <row r="16" spans="1:14" x14ac:dyDescent="0.2">
      <c r="C16">
        <f>bt*4845</f>
        <v>150.46583850931674</v>
      </c>
      <c r="D16">
        <f>bt*300</f>
        <v>9.3167701863354022</v>
      </c>
      <c r="J16" s="8"/>
    </row>
    <row r="17" spans="1:15" x14ac:dyDescent="0.2">
      <c r="C17">
        <f>bt*22745</f>
        <v>706.36645962732905</v>
      </c>
      <c r="D17">
        <f>bt*(485)</f>
        <v>15.062111801242235</v>
      </c>
    </row>
    <row r="18" spans="1:15" x14ac:dyDescent="0.2">
      <c r="D18">
        <v>160</v>
      </c>
    </row>
    <row r="19" spans="1:15" x14ac:dyDescent="0.2">
      <c r="D19">
        <v>109</v>
      </c>
    </row>
    <row r="20" spans="1:15" x14ac:dyDescent="0.2">
      <c r="C20" t="s">
        <v>412</v>
      </c>
      <c r="N20">
        <f>(300+750)/32</f>
        <v>32.8125</v>
      </c>
      <c r="O20">
        <f>300/32</f>
        <v>9.375</v>
      </c>
    </row>
    <row r="21" spans="1:15" x14ac:dyDescent="0.2">
      <c r="N21">
        <f>N20/6*2</f>
        <v>10.9375</v>
      </c>
      <c r="O21">
        <f>750/32</f>
        <v>23.4375</v>
      </c>
    </row>
    <row r="22" spans="1:15" x14ac:dyDescent="0.2">
      <c r="A22" t="s">
        <v>24</v>
      </c>
      <c r="B22" s="4" t="s">
        <v>25</v>
      </c>
      <c r="E22">
        <f>6*1200</f>
        <v>7200</v>
      </c>
    </row>
    <row r="23" spans="1:15" x14ac:dyDescent="0.2">
      <c r="A23" t="s">
        <v>26</v>
      </c>
      <c r="B23">
        <f>1100*6+2*(900)</f>
        <v>8400</v>
      </c>
      <c r="D23" t="s">
        <v>65</v>
      </c>
      <c r="E23" t="s">
        <v>84</v>
      </c>
    </row>
    <row r="24" spans="1:15" x14ac:dyDescent="0.2">
      <c r="A24" t="s">
        <v>29</v>
      </c>
      <c r="B24">
        <f>+B11</f>
        <v>7737.5531055900628</v>
      </c>
      <c r="C24" t="s">
        <v>85</v>
      </c>
      <c r="D24" s="1">
        <f>B24*C10</f>
        <v>1013.2510019225083</v>
      </c>
      <c r="E24" s="1">
        <f>B24*I10</f>
        <v>829.02354702750665</v>
      </c>
    </row>
    <row r="25" spans="1:15" x14ac:dyDescent="0.2">
      <c r="A25" t="s">
        <v>86</v>
      </c>
      <c r="B25">
        <f>B23-B24</f>
        <v>662.44689440993716</v>
      </c>
      <c r="C25">
        <f>C9+C11-B23</f>
        <v>-1204.2916149068315</v>
      </c>
      <c r="D25">
        <f t="shared" ref="D25:J25" si="2">D9+D11</f>
        <v>2642.1987577639752</v>
      </c>
      <c r="E25">
        <f t="shared" si="2"/>
        <v>1171.5031055900622</v>
      </c>
      <c r="F25">
        <f t="shared" si="2"/>
        <v>1137.6583850931677</v>
      </c>
      <c r="G25">
        <f t="shared" si="2"/>
        <v>802.48447204968943</v>
      </c>
      <c r="H25">
        <f t="shared" si="2"/>
        <v>1100</v>
      </c>
      <c r="I25">
        <f t="shared" si="2"/>
        <v>900</v>
      </c>
      <c r="J25">
        <f t="shared" si="2"/>
        <v>900</v>
      </c>
    </row>
    <row r="26" spans="1:15" x14ac:dyDescent="0.2">
      <c r="A26" s="14" t="s">
        <v>31</v>
      </c>
      <c r="B26" s="14"/>
      <c r="C26" s="15">
        <f t="shared" ref="C26:H26" si="3">C25-$D$24</f>
        <v>-2217.5426168293397</v>
      </c>
      <c r="D26" s="15">
        <f t="shared" si="3"/>
        <v>1628.9477558414669</v>
      </c>
      <c r="E26" s="15">
        <f t="shared" si="3"/>
        <v>158.25210366755391</v>
      </c>
      <c r="F26" s="15">
        <f t="shared" si="3"/>
        <v>124.40738317065939</v>
      </c>
      <c r="G26" s="15">
        <f t="shared" si="3"/>
        <v>-210.76652987281886</v>
      </c>
      <c r="H26" s="15">
        <f t="shared" si="3"/>
        <v>86.748998077491706</v>
      </c>
      <c r="I26" s="15">
        <f>I25-$E$24</f>
        <v>70.976452972493348</v>
      </c>
      <c r="J26" s="15">
        <f>J25-$E$24</f>
        <v>70.976452972493348</v>
      </c>
      <c r="K26" t="s">
        <v>32</v>
      </c>
    </row>
    <row r="27" spans="1:15" x14ac:dyDescent="0.2">
      <c r="A27" t="s">
        <v>33</v>
      </c>
      <c r="B27" s="12">
        <f>1200-D24</f>
        <v>186.74899807749171</v>
      </c>
      <c r="C27" s="12">
        <f>C26+D26</f>
        <v>-588.59486098787283</v>
      </c>
      <c r="D27" s="12"/>
      <c r="E27" s="12">
        <f>E26+F26</f>
        <v>282.6594868382133</v>
      </c>
      <c r="F27" s="12"/>
      <c r="G27" s="12">
        <f>G26+H26</f>
        <v>-124.01753179532716</v>
      </c>
      <c r="H27" s="12"/>
      <c r="I27" s="12">
        <f>I26+J26</f>
        <v>141.9529059449867</v>
      </c>
      <c r="K27" t="s">
        <v>34</v>
      </c>
    </row>
    <row r="30" spans="1:15" x14ac:dyDescent="0.2">
      <c r="A30" t="s">
        <v>11</v>
      </c>
    </row>
    <row r="31" spans="1:15" x14ac:dyDescent="0.2">
      <c r="C31" t="s">
        <v>89</v>
      </c>
      <c r="D31" t="s">
        <v>90</v>
      </c>
      <c r="F31" t="s">
        <v>91</v>
      </c>
      <c r="G31" t="s">
        <v>89</v>
      </c>
      <c r="H31" t="s">
        <v>90</v>
      </c>
      <c r="J31" s="1"/>
    </row>
    <row r="32" spans="1:15" x14ac:dyDescent="0.2">
      <c r="A32" t="s">
        <v>35</v>
      </c>
      <c r="C32" s="11">
        <f>D24</f>
        <v>1013.2510019225083</v>
      </c>
      <c r="D32">
        <v>828</v>
      </c>
      <c r="F32" t="s">
        <v>92</v>
      </c>
      <c r="G32">
        <v>613</v>
      </c>
      <c r="H32">
        <v>306.5</v>
      </c>
    </row>
    <row r="33" spans="1:10" x14ac:dyDescent="0.2">
      <c r="A33" t="s">
        <v>36</v>
      </c>
      <c r="C33" s="11">
        <f>B23</f>
        <v>8400</v>
      </c>
      <c r="F33" t="s">
        <v>93</v>
      </c>
      <c r="G33">
        <v>200</v>
      </c>
      <c r="H33">
        <v>50</v>
      </c>
    </row>
    <row r="34" spans="1:10" x14ac:dyDescent="0.2">
      <c r="A34" t="s">
        <v>37</v>
      </c>
      <c r="C34" s="11">
        <f>B24</f>
        <v>7737.5531055900628</v>
      </c>
      <c r="F34" t="s">
        <v>94</v>
      </c>
      <c r="G34">
        <f>1100-813</f>
        <v>287</v>
      </c>
      <c r="H34">
        <f>G34/2</f>
        <v>143.5</v>
      </c>
      <c r="J34" s="12"/>
    </row>
    <row r="35" spans="1:10" x14ac:dyDescent="0.2">
      <c r="F35" t="s">
        <v>95</v>
      </c>
      <c r="G35">
        <f>SUM(G32:G34)</f>
        <v>1100</v>
      </c>
      <c r="H35">
        <f>SUM(H32:H34)</f>
        <v>500</v>
      </c>
    </row>
    <row r="37" spans="1:10" x14ac:dyDescent="0.2">
      <c r="A37" t="s">
        <v>38</v>
      </c>
    </row>
    <row r="39" spans="1:10" x14ac:dyDescent="0.2">
      <c r="C39" s="11"/>
    </row>
  </sheetData>
  <printOptions gridLines="1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topLeftCell="A6" workbookViewId="0">
      <selection activeCell="A26" sqref="A26"/>
    </sheetView>
  </sheetViews>
  <sheetFormatPr defaultColWidth="8.42578125" defaultRowHeight="12.75" x14ac:dyDescent="0.2"/>
  <cols>
    <col min="1" max="3" width="8.42578125" bestFit="1" customWidth="1"/>
    <col min="4" max="4" width="10.28515625" customWidth="1"/>
    <col min="5" max="5" width="13.42578125" customWidth="1"/>
    <col min="6" max="6" width="8.42578125" bestFit="1" customWidth="1"/>
    <col min="7" max="7" width="10.5703125" bestFit="1" customWidth="1"/>
    <col min="8" max="8" width="12.5703125" customWidth="1"/>
    <col min="9" max="9" width="11.42578125" customWidth="1"/>
  </cols>
  <sheetData>
    <row r="1" spans="1:16" x14ac:dyDescent="0.2">
      <c r="F1" t="s">
        <v>379</v>
      </c>
      <c r="G1">
        <v>1.365</v>
      </c>
      <c r="I1" t="s">
        <v>383</v>
      </c>
      <c r="J1">
        <v>34.299999999999997</v>
      </c>
    </row>
    <row r="2" spans="1:16" x14ac:dyDescent="0.2">
      <c r="D2" t="s">
        <v>2</v>
      </c>
      <c r="M2" t="s">
        <v>381</v>
      </c>
      <c r="O2" t="s">
        <v>80</v>
      </c>
    </row>
    <row r="3" spans="1:16" x14ac:dyDescent="0.2">
      <c r="D3" t="s">
        <v>402</v>
      </c>
      <c r="E3" t="s">
        <v>401</v>
      </c>
      <c r="F3" t="s">
        <v>40</v>
      </c>
      <c r="J3" t="s">
        <v>391</v>
      </c>
      <c r="K3" t="s">
        <v>390</v>
      </c>
      <c r="L3" t="s">
        <v>388</v>
      </c>
      <c r="M3" t="s">
        <v>380</v>
      </c>
      <c r="N3" t="s">
        <v>394</v>
      </c>
    </row>
    <row r="4" spans="1:16" x14ac:dyDescent="0.2">
      <c r="B4" t="s">
        <v>42</v>
      </c>
      <c r="D4">
        <v>730</v>
      </c>
      <c r="E4">
        <v>1865</v>
      </c>
      <c r="F4">
        <v>715</v>
      </c>
      <c r="G4" s="16"/>
      <c r="J4" t="s">
        <v>392</v>
      </c>
      <c r="K4">
        <v>8</v>
      </c>
      <c r="L4" s="35" t="s">
        <v>393</v>
      </c>
      <c r="M4" t="s">
        <v>393</v>
      </c>
    </row>
    <row r="5" spans="1:16" x14ac:dyDescent="0.2">
      <c r="B5" t="s">
        <v>43</v>
      </c>
      <c r="D5">
        <f>+D4*7</f>
        <v>5110</v>
      </c>
      <c r="E5">
        <f>+E4*7</f>
        <v>13055</v>
      </c>
      <c r="F5">
        <f>+F4*7</f>
        <v>5005</v>
      </c>
    </row>
    <row r="6" spans="1:16" x14ac:dyDescent="0.2">
      <c r="A6">
        <v>0.1</v>
      </c>
      <c r="B6" t="s">
        <v>403</v>
      </c>
      <c r="D6">
        <f>$A6*D5*-1</f>
        <v>-511</v>
      </c>
    </row>
    <row r="7" spans="1:16" x14ac:dyDescent="0.2">
      <c r="A7">
        <v>0.05</v>
      </c>
      <c r="B7" t="s">
        <v>404</v>
      </c>
      <c r="D7">
        <v>-229.95</v>
      </c>
      <c r="E7">
        <f>$A7*E5*-1</f>
        <v>-652.75</v>
      </c>
      <c r="F7">
        <f>$A7*F5*-1</f>
        <v>-250.25</v>
      </c>
      <c r="M7">
        <f>O7*G1</f>
        <v>655.20000000000005</v>
      </c>
      <c r="N7" t="s">
        <v>382</v>
      </c>
      <c r="O7">
        <v>480</v>
      </c>
    </row>
    <row r="8" spans="1:16" x14ac:dyDescent="0.2">
      <c r="B8" t="s">
        <v>45</v>
      </c>
      <c r="D8">
        <v>0</v>
      </c>
      <c r="E8">
        <f>+E4/2</f>
        <v>932.5</v>
      </c>
      <c r="F8">
        <f>+F4/2</f>
        <v>357.5</v>
      </c>
      <c r="M8">
        <v>551</v>
      </c>
      <c r="N8" t="s">
        <v>384</v>
      </c>
      <c r="O8">
        <f>18905/J1</f>
        <v>551.1661807580175</v>
      </c>
    </row>
    <row r="9" spans="1:16" x14ac:dyDescent="0.2">
      <c r="B9" t="s">
        <v>46</v>
      </c>
      <c r="D9">
        <v>53</v>
      </c>
      <c r="E9">
        <f>48*7</f>
        <v>336</v>
      </c>
      <c r="F9">
        <f>48*7</f>
        <v>336</v>
      </c>
      <c r="M9">
        <f>790*G1</f>
        <v>1078.3499999999999</v>
      </c>
      <c r="N9" t="s">
        <v>385</v>
      </c>
      <c r="O9">
        <v>790</v>
      </c>
      <c r="P9" t="s">
        <v>386</v>
      </c>
    </row>
    <row r="10" spans="1:16" x14ac:dyDescent="0.2">
      <c r="B10" t="s">
        <v>47</v>
      </c>
      <c r="D10">
        <v>170</v>
      </c>
      <c r="E10">
        <v>125</v>
      </c>
      <c r="F10">
        <v>125</v>
      </c>
      <c r="K10">
        <v>715</v>
      </c>
      <c r="L10">
        <v>465</v>
      </c>
      <c r="M10" t="s">
        <v>389</v>
      </c>
      <c r="N10" t="s">
        <v>387</v>
      </c>
    </row>
    <row r="11" spans="1:16" x14ac:dyDescent="0.2">
      <c r="B11" t="s">
        <v>48</v>
      </c>
      <c r="D11">
        <v>40</v>
      </c>
      <c r="E11">
        <v>0</v>
      </c>
      <c r="F11">
        <v>0</v>
      </c>
      <c r="K11">
        <v>1050</v>
      </c>
      <c r="L11">
        <v>660</v>
      </c>
      <c r="N11" t="s">
        <v>395</v>
      </c>
    </row>
    <row r="12" spans="1:16" x14ac:dyDescent="0.2">
      <c r="B12" t="s">
        <v>49</v>
      </c>
      <c r="D12">
        <v>0</v>
      </c>
      <c r="E12">
        <v>0</v>
      </c>
      <c r="F12">
        <v>0</v>
      </c>
    </row>
    <row r="13" spans="1:16" x14ac:dyDescent="0.2">
      <c r="B13" t="s">
        <v>50</v>
      </c>
      <c r="D13">
        <v>0</v>
      </c>
      <c r="E13">
        <f>95*E22</f>
        <v>0</v>
      </c>
      <c r="F13">
        <f>95*F22</f>
        <v>0</v>
      </c>
    </row>
    <row r="14" spans="1:16" x14ac:dyDescent="0.2">
      <c r="B14" t="s">
        <v>51</v>
      </c>
      <c r="D14">
        <v>80</v>
      </c>
      <c r="E14">
        <f>25*7</f>
        <v>175</v>
      </c>
      <c r="F14">
        <f>25*7</f>
        <v>175</v>
      </c>
    </row>
    <row r="15" spans="1:16" x14ac:dyDescent="0.2">
      <c r="B15" t="s">
        <v>52</v>
      </c>
      <c r="D15" s="13">
        <v>0</v>
      </c>
      <c r="E15" s="13">
        <v>40</v>
      </c>
      <c r="F15" s="13">
        <v>40</v>
      </c>
    </row>
    <row r="16" spans="1:16" x14ac:dyDescent="0.2">
      <c r="B16" t="s">
        <v>54</v>
      </c>
      <c r="D16">
        <v>160</v>
      </c>
      <c r="E16">
        <f>E22*(45+5*5)</f>
        <v>0</v>
      </c>
      <c r="F16">
        <f>F22*(45+5*5)</f>
        <v>0</v>
      </c>
      <c r="H16" t="s">
        <v>55</v>
      </c>
    </row>
    <row r="17" spans="1:11" x14ac:dyDescent="0.2">
      <c r="C17" t="s">
        <v>56</v>
      </c>
      <c r="D17" s="23">
        <f>SUM(D5:D16)</f>
        <v>4872.05</v>
      </c>
      <c r="E17" s="23"/>
      <c r="F17" s="23"/>
      <c r="G17" s="23"/>
      <c r="H17" s="23">
        <f>E17+D17+F17+G17</f>
        <v>4872.05</v>
      </c>
    </row>
    <row r="18" spans="1:11" x14ac:dyDescent="0.2">
      <c r="D18" s="23"/>
      <c r="E18" s="23"/>
      <c r="F18" s="23"/>
      <c r="G18" s="23"/>
      <c r="H18" s="23"/>
    </row>
    <row r="20" spans="1:11" x14ac:dyDescent="0.2">
      <c r="E20" t="s">
        <v>57</v>
      </c>
      <c r="H20" s="1">
        <f>H17/A25/A27</f>
        <v>101.50104166666667</v>
      </c>
      <c r="I20" s="1">
        <f>H20*2</f>
        <v>203.00208333333333</v>
      </c>
      <c r="J20" t="s">
        <v>58</v>
      </c>
    </row>
    <row r="22" spans="1:11" x14ac:dyDescent="0.2">
      <c r="A22" s="17" t="s">
        <v>59</v>
      </c>
      <c r="B22" s="17"/>
      <c r="C22" s="17"/>
      <c r="D22" s="17">
        <v>6</v>
      </c>
      <c r="E22" s="17"/>
      <c r="F22" s="17"/>
      <c r="G22" s="1"/>
      <c r="H22" s="1"/>
      <c r="I22" s="1"/>
    </row>
    <row r="23" spans="1:11" x14ac:dyDescent="0.2">
      <c r="A23" s="17"/>
      <c r="B23" s="17"/>
      <c r="C23" s="17" t="s">
        <v>61</v>
      </c>
      <c r="D23" s="22">
        <f>D17/D22</f>
        <v>812.00833333333333</v>
      </c>
      <c r="E23" s="22"/>
      <c r="F23" s="22"/>
      <c r="G23" s="21"/>
      <c r="H23" s="1"/>
      <c r="I23" s="1"/>
    </row>
    <row r="24" spans="1:11" x14ac:dyDescent="0.2">
      <c r="A24" s="17"/>
      <c r="B24" s="17"/>
      <c r="C24" s="17"/>
      <c r="D24" s="17"/>
      <c r="E24" s="17"/>
      <c r="F24" s="17"/>
      <c r="G24" s="21"/>
      <c r="H24" s="1"/>
      <c r="I24" s="1"/>
    </row>
    <row r="25" spans="1:11" x14ac:dyDescent="0.2">
      <c r="A25" s="18">
        <v>8</v>
      </c>
      <c r="B25" s="18" t="s">
        <v>62</v>
      </c>
      <c r="C25" s="18"/>
      <c r="D25" s="18"/>
      <c r="E25" s="18"/>
      <c r="F25" s="18"/>
      <c r="G25" s="18"/>
      <c r="H25" s="18"/>
    </row>
    <row r="26" spans="1:11" x14ac:dyDescent="0.2">
      <c r="A26" s="18">
        <v>1</v>
      </c>
      <c r="B26" s="18" t="s">
        <v>63</v>
      </c>
      <c r="C26" s="18"/>
      <c r="D26" s="18"/>
      <c r="E26" s="18"/>
      <c r="F26" s="18"/>
      <c r="G26" s="18"/>
      <c r="H26" s="18"/>
      <c r="J26">
        <v>1200</v>
      </c>
      <c r="K26" t="s">
        <v>396</v>
      </c>
    </row>
    <row r="27" spans="1:11" x14ac:dyDescent="0.2">
      <c r="A27" s="18">
        <v>6</v>
      </c>
      <c r="B27" s="18" t="s">
        <v>64</v>
      </c>
      <c r="C27" s="18"/>
      <c r="D27" s="18"/>
      <c r="E27" s="18"/>
      <c r="F27" s="18"/>
      <c r="G27" s="18"/>
      <c r="H27" s="18"/>
      <c r="J27">
        <v>1400</v>
      </c>
      <c r="K27" t="s">
        <v>397</v>
      </c>
    </row>
    <row r="28" spans="1:11" x14ac:dyDescent="0.2">
      <c r="A28" s="18"/>
      <c r="B28" s="18"/>
      <c r="C28" s="18"/>
      <c r="D28" s="18"/>
      <c r="E28" s="18"/>
      <c r="F28" s="18"/>
      <c r="G28" s="18"/>
      <c r="H28" s="18"/>
    </row>
    <row r="29" spans="1:11" x14ac:dyDescent="0.2">
      <c r="A29" s="18"/>
      <c r="B29" s="18"/>
      <c r="C29" s="18"/>
      <c r="D29" s="18"/>
      <c r="E29" s="18"/>
      <c r="F29" s="18"/>
      <c r="G29" s="18" t="s">
        <v>65</v>
      </c>
      <c r="H29" s="18"/>
      <c r="J29">
        <v>1200</v>
      </c>
      <c r="K29" t="s">
        <v>398</v>
      </c>
    </row>
    <row r="30" spans="1:11" x14ac:dyDescent="0.2">
      <c r="A30" s="18" t="s">
        <v>66</v>
      </c>
      <c r="B30" s="18"/>
      <c r="C30" s="19"/>
      <c r="D30" s="19"/>
      <c r="E30" s="18" t="s">
        <v>55</v>
      </c>
      <c r="F30" s="19"/>
      <c r="G30" s="19">
        <f>$H$17/$A$25</f>
        <v>609.00625000000002</v>
      </c>
      <c r="H30" s="19"/>
      <c r="I30" s="1"/>
      <c r="J30">
        <v>1500</v>
      </c>
      <c r="K30" t="s">
        <v>399</v>
      </c>
    </row>
    <row r="31" spans="1:11" x14ac:dyDescent="0.2">
      <c r="A31" s="18" t="s">
        <v>67</v>
      </c>
      <c r="B31" s="18"/>
      <c r="C31" s="19" t="s">
        <v>68</v>
      </c>
      <c r="D31" s="19">
        <v>35</v>
      </c>
      <c r="E31" s="20" t="s">
        <v>405</v>
      </c>
      <c r="F31" s="19"/>
      <c r="G31" s="19">
        <f>D31*$A$27</f>
        <v>210</v>
      </c>
      <c r="H31" s="19"/>
      <c r="I31" s="1"/>
      <c r="J31">
        <v>1400</v>
      </c>
      <c r="K31" t="s">
        <v>400</v>
      </c>
    </row>
    <row r="32" spans="1:11" x14ac:dyDescent="0.2">
      <c r="A32" s="18"/>
      <c r="B32" s="18" t="s">
        <v>69</v>
      </c>
      <c r="C32" s="19" t="s">
        <v>68</v>
      </c>
      <c r="D32" s="19"/>
      <c r="E32" s="18"/>
      <c r="F32" s="19"/>
      <c r="G32" s="19">
        <f>D32*$A$27</f>
        <v>0</v>
      </c>
      <c r="H32" s="19"/>
      <c r="I32" s="1"/>
    </row>
    <row r="33" spans="1:9" x14ac:dyDescent="0.2">
      <c r="A33" s="18"/>
      <c r="B33" s="18"/>
      <c r="C33" s="19"/>
      <c r="D33" s="19"/>
      <c r="E33" s="18"/>
      <c r="F33" s="19"/>
      <c r="G33" s="19"/>
      <c r="H33" s="19"/>
      <c r="I33" s="1"/>
    </row>
    <row r="34" spans="1:9" x14ac:dyDescent="0.2">
      <c r="A34" s="18" t="s">
        <v>70</v>
      </c>
      <c r="B34" s="18"/>
      <c r="C34" s="19" t="s">
        <v>71</v>
      </c>
      <c r="D34" s="19">
        <v>200</v>
      </c>
      <c r="E34" s="18"/>
      <c r="F34" s="19"/>
      <c r="G34" s="19">
        <f>D34</f>
        <v>200</v>
      </c>
      <c r="H34" s="19"/>
      <c r="I34" s="1"/>
    </row>
    <row r="35" spans="1:9" x14ac:dyDescent="0.2">
      <c r="A35" s="18" t="s">
        <v>72</v>
      </c>
      <c r="B35" s="18"/>
      <c r="C35" s="19"/>
      <c r="D35" s="19">
        <v>81</v>
      </c>
      <c r="E35" s="18"/>
      <c r="F35" s="19"/>
      <c r="G35" s="19">
        <f>D35</f>
        <v>81</v>
      </c>
      <c r="H35" s="19"/>
      <c r="I35" s="1"/>
    </row>
    <row r="36" spans="1:9" x14ac:dyDescent="0.2">
      <c r="A36" s="18"/>
      <c r="B36" s="18"/>
      <c r="C36" s="19"/>
      <c r="D36" s="19"/>
      <c r="E36" s="18"/>
      <c r="F36" s="19"/>
      <c r="G36" s="19"/>
      <c r="H36" s="19"/>
      <c r="I36" s="1"/>
    </row>
    <row r="37" spans="1:9" x14ac:dyDescent="0.2">
      <c r="A37" s="18"/>
      <c r="B37" s="18"/>
      <c r="C37" s="19"/>
      <c r="D37" s="19"/>
      <c r="E37" s="18" t="s">
        <v>73</v>
      </c>
      <c r="F37" s="19"/>
      <c r="G37" s="19">
        <f>SUM(G30:G36)</f>
        <v>1100.0062499999999</v>
      </c>
      <c r="H37" s="19"/>
      <c r="I37" s="1"/>
    </row>
    <row r="38" spans="1:9" x14ac:dyDescent="0.2">
      <c r="C38" s="1"/>
      <c r="D38" s="1"/>
      <c r="F38" s="1"/>
      <c r="G38" s="1"/>
      <c r="H38" s="1"/>
      <c r="I38" s="1"/>
    </row>
    <row r="39" spans="1:9" x14ac:dyDescent="0.2">
      <c r="C39" s="1"/>
      <c r="D39" s="1"/>
      <c r="E39" s="1"/>
      <c r="G39" s="1"/>
      <c r="H39" s="1"/>
      <c r="I39" s="1"/>
    </row>
    <row r="40" spans="1:9" x14ac:dyDescent="0.2">
      <c r="C40" s="1"/>
      <c r="D40" s="1"/>
      <c r="E40" s="1" t="s">
        <v>406</v>
      </c>
      <c r="G40" s="23">
        <v>1032</v>
      </c>
      <c r="H40" s="1"/>
      <c r="I40" s="1"/>
    </row>
    <row r="41" spans="1:9" x14ac:dyDescent="0.2">
      <c r="E41" t="s">
        <v>407</v>
      </c>
      <c r="G41">
        <v>1100</v>
      </c>
    </row>
  </sheetData>
  <phoneticPr fontId="9" type="noConversion"/>
  <printOptions gridLine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Greece Accts</vt:lpstr>
      <vt:lpstr>Greece Est</vt:lpstr>
      <vt:lpstr>Tonga Accounts</vt:lpstr>
      <vt:lpstr>Tonga Est</vt:lpstr>
      <vt:lpstr>Caribbean</vt:lpstr>
      <vt:lpstr>airfares</vt:lpstr>
      <vt:lpstr>StMartin Est</vt:lpstr>
      <vt:lpstr>Phuket Accounts</vt:lpstr>
      <vt:lpstr>Phuket Est</vt:lpstr>
      <vt:lpstr>LaPaz Accounts</vt:lpstr>
      <vt:lpstr>LaPaz Est</vt:lpstr>
      <vt:lpstr>Croatia Accounts</vt:lpstr>
      <vt:lpstr>StLucia Accounts</vt:lpstr>
      <vt:lpstr>StLucia Est</vt:lpstr>
      <vt:lpstr>Bel Accounts</vt:lpstr>
      <vt:lpstr>Belize Estimates</vt:lpstr>
      <vt:lpstr>Med Provisions</vt:lpstr>
      <vt:lpstr>Med Accounts</vt:lpstr>
      <vt:lpstr>Med Estimates</vt:lpstr>
      <vt:lpstr>Tahiti Accounts</vt:lpstr>
      <vt:lpstr>Tahiti-Provisions</vt:lpstr>
      <vt:lpstr>'Greece Accts'!bt</vt:lpstr>
      <vt:lpstr>'Tonga Accounts'!bt</vt:lpstr>
      <vt:lpstr>bt</vt:lpstr>
      <vt:lpstr>'Greece Accts'!kr</vt:lpstr>
      <vt:lpstr>'Phuket Accounts'!kr</vt:lpstr>
      <vt:lpstr>'Tonga Accounts'!kr</vt:lpstr>
      <vt:lpstr>kr</vt:lpstr>
      <vt:lpstr>'LaPaz Accounts'!Print_Area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Martinka, Joe (PSG-CAS-CE)</dc:creator>
  <cp:lastModifiedBy>Joe Martinka</cp:lastModifiedBy>
  <cp:lastPrinted>2013-06-08T04:48:46Z</cp:lastPrinted>
  <dcterms:created xsi:type="dcterms:W3CDTF">2010-09-27T04:53:44Z</dcterms:created>
  <dcterms:modified xsi:type="dcterms:W3CDTF">2015-03-01T04:38:19Z</dcterms:modified>
</cp:coreProperties>
</file>